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лан" sheetId="1" r:id="rId1"/>
  </sheets>
  <definedNames>
    <definedName name="_xlnm.Print_Area" localSheetId="0">план!$A$1:$K$136</definedName>
  </definedNames>
  <calcPr calcId="124519"/>
</workbook>
</file>

<file path=xl/calcChain.xml><?xml version="1.0" encoding="utf-8"?>
<calcChain xmlns="http://schemas.openxmlformats.org/spreadsheetml/2006/main">
  <c r="K130" i="1"/>
  <c r="J130"/>
  <c r="H130"/>
  <c r="F130"/>
  <c r="D130"/>
  <c r="A118"/>
  <c r="A119" s="1"/>
  <c r="A120" s="1"/>
  <c r="A121" s="1"/>
  <c r="A122" s="1"/>
  <c r="A123" s="1"/>
  <c r="A124" s="1"/>
  <c r="A125" s="1"/>
  <c r="A126" s="1"/>
  <c r="A127" s="1"/>
  <c r="A128" s="1"/>
  <c r="A129" s="1"/>
  <c r="A117"/>
  <c r="K114"/>
  <c r="J114"/>
  <c r="H114"/>
  <c r="F114"/>
  <c r="D114"/>
  <c r="K104"/>
  <c r="F104"/>
  <c r="F105" s="1"/>
  <c r="F106" s="1"/>
  <c r="F131" s="1"/>
  <c r="J103"/>
  <c r="J104" s="1"/>
  <c r="H103"/>
  <c r="H104" s="1"/>
  <c r="D103"/>
  <c r="J102"/>
  <c r="D102"/>
  <c r="D104" s="1"/>
  <c r="K99"/>
  <c r="F99"/>
  <c r="D98"/>
  <c r="J97"/>
  <c r="D97"/>
  <c r="J96"/>
  <c r="D96"/>
  <c r="J95"/>
  <c r="H95"/>
  <c r="D95"/>
  <c r="J94"/>
  <c r="J99" s="1"/>
  <c r="H94"/>
  <c r="H99" s="1"/>
  <c r="D94"/>
  <c r="J93"/>
  <c r="D93"/>
  <c r="J92"/>
  <c r="D92"/>
  <c r="D99" s="1"/>
  <c r="K90"/>
  <c r="K105" s="1"/>
  <c r="K106" s="1"/>
  <c r="F90"/>
  <c r="D90"/>
  <c r="J89"/>
  <c r="H89"/>
  <c r="J88"/>
  <c r="H88"/>
  <c r="H87"/>
  <c r="J86"/>
  <c r="H86"/>
  <c r="J85"/>
  <c r="J90" s="1"/>
  <c r="H85"/>
  <c r="H90" s="1"/>
  <c r="K83"/>
  <c r="F83"/>
  <c r="J82"/>
  <c r="H82"/>
  <c r="D82"/>
  <c r="J81"/>
  <c r="H81"/>
  <c r="D81"/>
  <c r="J80"/>
  <c r="H80"/>
  <c r="D80"/>
  <c r="J79"/>
  <c r="D79"/>
  <c r="J78"/>
  <c r="D78"/>
  <c r="J77"/>
  <c r="D77"/>
  <c r="J76"/>
  <c r="H76"/>
  <c r="D76"/>
  <c r="J75"/>
  <c r="H75"/>
  <c r="D75"/>
  <c r="J74"/>
  <c r="H74"/>
  <c r="H83" s="1"/>
  <c r="D74"/>
  <c r="J73"/>
  <c r="D73"/>
  <c r="J72"/>
  <c r="J83" s="1"/>
  <c r="D72"/>
  <c r="D83" s="1"/>
  <c r="K69"/>
  <c r="J69"/>
  <c r="H69"/>
  <c r="F69"/>
  <c r="D69"/>
  <c r="H105" l="1"/>
  <c r="H106" s="1"/>
  <c r="H131" s="1"/>
  <c r="K131"/>
  <c r="D105"/>
  <c r="D106" s="1"/>
  <c r="D131" s="1"/>
  <c r="J105"/>
  <c r="J106" s="1"/>
  <c r="J131" s="1"/>
  <c r="K60" l="1"/>
  <c r="J60"/>
  <c r="H60"/>
  <c r="F60"/>
  <c r="D60"/>
  <c r="K64" l="1"/>
  <c r="J64"/>
  <c r="H64"/>
  <c r="F64"/>
  <c r="D64"/>
  <c r="J42"/>
  <c r="K51"/>
  <c r="J51"/>
  <c r="K42"/>
  <c r="K38"/>
  <c r="J38"/>
  <c r="K34"/>
  <c r="J34"/>
  <c r="H42"/>
  <c r="H38"/>
  <c r="H51"/>
  <c r="H34"/>
  <c r="H16"/>
  <c r="F51"/>
  <c r="F42"/>
  <c r="F38"/>
  <c r="F34"/>
  <c r="F16"/>
  <c r="D34"/>
  <c r="D51"/>
  <c r="D38"/>
  <c r="D42"/>
  <c r="D16"/>
  <c r="K52" l="1"/>
  <c r="K53" s="1"/>
  <c r="K65" s="1"/>
  <c r="J52"/>
  <c r="J53" s="1"/>
  <c r="J65" s="1"/>
  <c r="H52"/>
  <c r="H53" s="1"/>
  <c r="H65" s="1"/>
  <c r="F52"/>
  <c r="F53" s="1"/>
  <c r="F65" s="1"/>
  <c r="D52"/>
  <c r="D53" s="1"/>
  <c r="D65" s="1"/>
</calcChain>
</file>

<file path=xl/sharedStrings.xml><?xml version="1.0" encoding="utf-8"?>
<sst xmlns="http://schemas.openxmlformats.org/spreadsheetml/2006/main" count="256" uniqueCount="164">
  <si>
    <t>"СОГЛАСОВАНО"</t>
  </si>
  <si>
    <t>"УТВЕРЖДАЮ"</t>
  </si>
  <si>
    <t>Главный инженер</t>
  </si>
  <si>
    <t>Мазоватов Е.Л.</t>
  </si>
  <si>
    <t>Тухбатуллин И.Г.</t>
  </si>
  <si>
    <t>Начальник ПЭО</t>
  </si>
  <si>
    <t>Хамзина Е.Ф.</t>
  </si>
  <si>
    <t>№ п\п</t>
  </si>
  <si>
    <t>Наименование работ</t>
  </si>
  <si>
    <t>Количество</t>
  </si>
  <si>
    <t>Стоимость работ</t>
  </si>
  <si>
    <t>Затраты на материалы</t>
  </si>
  <si>
    <t>Затраты времени</t>
  </si>
  <si>
    <t>план</t>
  </si>
  <si>
    <t>факт</t>
  </si>
  <si>
    <t>по смете</t>
  </si>
  <si>
    <t>по факту</t>
  </si>
  <si>
    <t>нормочасы по Гранд- смете</t>
  </si>
  <si>
    <t>часы по наряд- допускам</t>
  </si>
  <si>
    <t>машино- часы, учтенные в расцентках</t>
  </si>
  <si>
    <t>меха- низмо- часы, не учтенные в расценках</t>
  </si>
  <si>
    <t>1</t>
  </si>
  <si>
    <t>2</t>
  </si>
  <si>
    <t>1.1</t>
  </si>
  <si>
    <t>Силовые трансформаторы</t>
  </si>
  <si>
    <t>1.1.1</t>
  </si>
  <si>
    <t>1 шт</t>
  </si>
  <si>
    <t>Итого:</t>
  </si>
  <si>
    <t>2.1</t>
  </si>
  <si>
    <t>Трансформаторные подстанции</t>
  </si>
  <si>
    <t>2.2</t>
  </si>
  <si>
    <t>КЛ 0,4 кВ</t>
  </si>
  <si>
    <t>2.3</t>
  </si>
  <si>
    <t>КЛ 6-10 кВ</t>
  </si>
  <si>
    <t>2.4</t>
  </si>
  <si>
    <t>Итого текущий и капитальный ремонт:</t>
  </si>
  <si>
    <t>Ремонт ТМ-400кВА</t>
  </si>
  <si>
    <t>ТО-1 ТП-04</t>
  </si>
  <si>
    <t>ТО-1 ТП-05</t>
  </si>
  <si>
    <t>ТО-1 ТП-011</t>
  </si>
  <si>
    <t>ТО-1 ТП-012а</t>
  </si>
  <si>
    <t>ТО-1 ТП-022</t>
  </si>
  <si>
    <t>ТО-1 ТП-028</t>
  </si>
  <si>
    <t>ТО-1 ТП-030</t>
  </si>
  <si>
    <t>ТО-1 ТП-061</t>
  </si>
  <si>
    <t>ТО-1 ТП-094</t>
  </si>
  <si>
    <t>ТО-1 ТП-099</t>
  </si>
  <si>
    <t>ТО-1 ТП-130</t>
  </si>
  <si>
    <t>ТО-1 ТП-173</t>
  </si>
  <si>
    <t>ТО-1 ТП-222</t>
  </si>
  <si>
    <t>ТО-1 ТП-246</t>
  </si>
  <si>
    <t>ТО-1 РП-3</t>
  </si>
  <si>
    <t>Ремонт КЛ-0,4кВ по дефектам</t>
  </si>
  <si>
    <t>Ремонт КЛ-6/10кВ по дефектам</t>
  </si>
  <si>
    <t>Асфальтирование перекопов</t>
  </si>
  <si>
    <t>Начальник ПТО</t>
  </si>
  <si>
    <t>План работ по участку  ТПиКЛ на Май  2023 г.</t>
  </si>
  <si>
    <t>Ревизия и наладка РЗА</t>
  </si>
  <si>
    <t>РП-3</t>
  </si>
  <si>
    <t>РП-4</t>
  </si>
  <si>
    <t>РП-11, 10кВ</t>
  </si>
  <si>
    <t>РП-11, 6кВ</t>
  </si>
  <si>
    <t>РП-13</t>
  </si>
  <si>
    <t>ТП-063</t>
  </si>
  <si>
    <t>ТП-130</t>
  </si>
  <si>
    <t>Всего кап.ремонт:</t>
  </si>
  <si>
    <t>Всего за текущий ремонт:</t>
  </si>
  <si>
    <t>Е.Л.Мазоватов</t>
  </si>
  <si>
    <t>Начальник ТПиКЛ</t>
  </si>
  <si>
    <t>М.Д.Шаймарданов</t>
  </si>
  <si>
    <t>Инвестиционная программа на 2023г</t>
  </si>
  <si>
    <t>Электроснабжение ТЦ «Добрино» по адресу: РБ, г. Октябрьский, ул. Космонавтов, д.32/4, кадастровый номер 02:57:020403:271 (РП-6кВ-1шт, Строительство КЛ-6кВ ААБ-3х120 L-0,8км)</t>
  </si>
  <si>
    <t>Электроснабжение имущества СНТ «Незабудка» (монтаж ТП с ТМГ)</t>
  </si>
  <si>
    <t>2-й этап строительства сетей внутреннего эл.снабж. мкр.Южный, Юго-Западный ГО г.Октябрьский в рамках тех.присоединения (Корректировка СТП-6/04,кВ мощностью 63кВА-1шт)</t>
  </si>
  <si>
    <t>Реконструкция сетей электроснабжения проходящих по территории 33 мкр. ГО г.Октябрьский РБ. (2КЛ-10кВ АСБу-3х185 L=1,85км, БКТП-1шт)</t>
  </si>
  <si>
    <t>Тех.присоединение 2023</t>
  </si>
  <si>
    <t>Гиззатуллин Рустем Расимович
нежилое здание, расположенное по адресу: РБ, г. Октябрьский, ул. Северная, дом 11 строение 12. ЗП-468 от 01.08.2022г. КЛ-0,4кВ ТП-116 - выход на опору № 1, 20м.</t>
  </si>
  <si>
    <t>20м.</t>
  </si>
  <si>
    <t>(ИП Хамидуллин Идьдус Фатхуллович)
Нежилое помещение под производственную базу, расположенного по адресу: РБ, г. Октябрьский, ул. Садовое кольцо, 96. ЗП-518 от 01.09.2022г. КЛ-0,4кВ ТП-026- выход на опору. Монтаж ком.аппарата.</t>
  </si>
  <si>
    <t xml:space="preserve">Капитальный ремонт ОС </t>
  </si>
  <si>
    <t xml:space="preserve">Текущий ремонт ОС </t>
  </si>
  <si>
    <t>Капитальный ремонт ОС</t>
  </si>
  <si>
    <t>Воздушные линии</t>
  </si>
  <si>
    <t>ЛЭП-0,4 кВ ТП-066  май ф 04-39, 11-17 ,замена АС , замена РВО</t>
  </si>
  <si>
    <t>ТП-051/ф.Род.дом,ф.Энгельса</t>
  </si>
  <si>
    <t>ТП-104/ф.М.Джалиля</t>
  </si>
  <si>
    <t>ТП-087/ф.Северная,17</t>
  </si>
  <si>
    <t>ТП-073/ф.Автостоянка,ф.Тукаева</t>
  </si>
  <si>
    <t>ТП-117/ф.Автостоянка</t>
  </si>
  <si>
    <t>ТП-149/ф.Майская,ф.Тургенева, ф.Сосновая</t>
  </si>
  <si>
    <t>ТП-174/ф.Матросова,ф.Кызыл-Тан</t>
  </si>
  <si>
    <t>ТП-189 ф.Буровиков, ф.Достоевского, ф.пр.Достоевского, ф.4пр.Достоевского</t>
  </si>
  <si>
    <t>ТП-206/ф.Михайлова,ф.Ферма</t>
  </si>
  <si>
    <t>ТП-224/ф.Красноармейская, ф.Красноармейская,1</t>
  </si>
  <si>
    <t xml:space="preserve">ТП-240/ф.40мкр,ф.Гайнанова-левая, ф.Гайнанова-правая, ф.Лазурная,ф.Анпилагова </t>
  </si>
  <si>
    <t>Текущий ремонт ОС</t>
  </si>
  <si>
    <t>ф.11-19. РП-3, ТП-253, ТП-167</t>
  </si>
  <si>
    <t>ф.11-40. РП-3, ТП-167,21,089</t>
  </si>
  <si>
    <t>ф.11-45. ТП-040,015</t>
  </si>
  <si>
    <t>ф.11-47. ТП-112,022</t>
  </si>
  <si>
    <t>ф.12-08. ТП-199,253</t>
  </si>
  <si>
    <t>ф.711-07. ТП-8,9,12,13</t>
  </si>
  <si>
    <t>ф.711-25. ТП-8,9,12</t>
  </si>
  <si>
    <t>ТП-130/Целинная</t>
  </si>
  <si>
    <t>ТП-173/ф.Чеверева, Тупик Чеверева</t>
  </si>
  <si>
    <t>ТП-222/С.Кудаш, С.Разина</t>
  </si>
  <si>
    <t>ф.04-06/ТП-122</t>
  </si>
  <si>
    <t>ф.11-17/от ПС-11 до ТП-036, к ТП-078, ТП-098</t>
  </si>
  <si>
    <t>ф.70-17/к ТП-209.162,163, 165,166,164,200</t>
  </si>
  <si>
    <t>2.2.</t>
  </si>
  <si>
    <t>Электроснабжение базовой станции связи (БС) Октябрьский в Туймазинском районе</t>
  </si>
  <si>
    <t>Замена приборов учета эл/энергии потребителей в целях исполнения ФЗ №522 от 27.12.2018г.</t>
  </si>
  <si>
    <t>Реконструкция сетей электроснабжения проходящих по территории 33 мкр. ГО г.Октябрьский РБ. (2КЛ-10кВ АСБу-3х185 L=1,85км, БКТП-1шт, ВЛЗ-10кВ СИП3-1х50 L=0,07м, КСО-366-1шт, КСО-298-1шт)</t>
  </si>
  <si>
    <r>
      <t xml:space="preserve">2-й этап строительства сетей внутреннего эл.снабж. мкр.Южный, Юго-Западный ГО г.Октябрьский в рамках тех.присоединения (Корректировка СТП-6/04,кВ мощностью 63кВА-1шт). </t>
    </r>
    <r>
      <rPr>
        <b/>
        <sz val="9"/>
        <rFont val="Arial"/>
        <family val="2"/>
        <charset val="204"/>
      </rPr>
      <t>ЗП-369,402,691</t>
    </r>
  </si>
  <si>
    <t>Мухаметзянов Азат Минифанилович
Индивидуальный садовый дом, расположенный по адресу: РБ, г. Октябрьский, СДТ «Ручеек», участок 5. ЗП-492 от 30.06.2022г.</t>
  </si>
  <si>
    <t>Шафиков Ильгиз Фаилевич
индивидуальный жилой дом, расположенный по адресу: РБ, г. Октябрьский, пр. Радостный, уч. 26. ЗП-509 от 23.08.2022</t>
  </si>
  <si>
    <t>Маргарян Сейран Симакович
индивидуальный дом, расположенный по адресу: РБ, г. Октябрьский, сдт «Заря», уч. 186. ЗП-489 от 10.08.2022</t>
  </si>
  <si>
    <t>Ахмаджонова Сафияхон Хайриллоевна
Индивидуальный жилой дом, расположенный по адресу: РБ, г. Октябрьский, ул. Рассветная, рядом с з/у 29. ЗП-540 от 26.09.2022</t>
  </si>
  <si>
    <t>Биктимиров Ильдар Ринатович
Индивидуальный гараж, расположенный по адресу: РБ, г. Октябрьский, ул. Целинная, в районе ж/д № 15 и № 17. ЗП-539 от 16.09.2022</t>
  </si>
  <si>
    <t>Мударисов Наиль Нурлыгаянович
Индивидуальный садовый дом, расположенный по адресу: РБ, г. Октябрьский, сдт «Девон», участок № 223. ЗП-585 от 17.10.2022г</t>
  </si>
  <si>
    <t>Захарова Лейсан Валерьевна
Индивидуальный садовый дом, расположенный по адресу: РБ, г. Октябрьский, сдт «Девон», участок № 222. ЗП-586 от 17.10.2022г. (согласно ЗП-585)</t>
  </si>
  <si>
    <t>Нагуманов Марат Мирсатович
Индивидуальный жилой дом, расположенный по адресу: РБ, г. Октябрьский, ул. Шукшина, з/у. 1. ЗП-588 от 19.10.2022</t>
  </si>
  <si>
    <t>Бекчанов Уморбек Курбонбоевич
Индивидуальный садовый дом, расположенный по адресу: г. Октябрьский, территория СНТ «Восход-1», уч. 54, кадастровый номер 02:57:050403:556. ЗП-605 от 31.10.2022</t>
  </si>
  <si>
    <t>Матвеев Эдуард Камилевич
садовый дом, расположенный по адресу: РБ, г. Октябрьский, К/с «Нефтяник, уч. 29, кадастровый номер 02:57:020602:186. ЗП-610 от 07.11.2022г</t>
  </si>
  <si>
    <t>Сираева Айгуль Рамилевна
Садовый дом расположенный по адресу: г.Октябрьский, СДТ "Ягодка", уч. 72, кадастровый номер 02:57:050407:88. ЗП-611 от 07.11.2022</t>
  </si>
  <si>
    <t>Шерстобитова Алена Олеговна
Садовый дом, расположенный по адресу: РБ, г. Октябрьский, СДТ «Ягодка», уч.87, кадастровый номер 02:57:050407:103. ЗП-613 от 07.11.2022</t>
  </si>
  <si>
    <t>Столяр Александр Владимирович
Садовый дом, расположенный по адресу: г. Октябрьский, СДТ «Девон», уч. 220, кадастровый номер 02:57:030703:387. ЗП-617 от 14.11.2022</t>
  </si>
  <si>
    <t>Маркина Надежда Владимировна
Индивидуальный жилой дом, расположенный по адресу: РБ, г. Октябрьский, сдт «Дружба-2», кадастровый номер 02:57:050404:356. ЗП-646 от 24.11.2022</t>
  </si>
  <si>
    <t>Электроснабжение участков под ИЖС по адресу 2-й проезд Кооперативной. Строительство КТП, ТМГ</t>
  </si>
  <si>
    <t xml:space="preserve">Электроснабжение участков под ИЖС по адресу 2-й проезд Кооперативной. </t>
  </si>
  <si>
    <t>ИТОГО ПО ФОРМЕ:</t>
  </si>
  <si>
    <t>830м</t>
  </si>
  <si>
    <t>720м</t>
  </si>
  <si>
    <t>125м</t>
  </si>
  <si>
    <t>412м</t>
  </si>
  <si>
    <t>120м</t>
  </si>
  <si>
    <t>1400м</t>
  </si>
  <si>
    <t>1536м</t>
  </si>
  <si>
    <t>1580м</t>
  </si>
  <si>
    <t>100м</t>
  </si>
  <si>
    <t>380м</t>
  </si>
  <si>
    <t>686м</t>
  </si>
  <si>
    <t>4327м</t>
  </si>
  <si>
    <t>870м</t>
  </si>
  <si>
    <t>1006м</t>
  </si>
  <si>
    <t>38м</t>
  </si>
  <si>
    <t>1900м</t>
  </si>
  <si>
    <t>871м</t>
  </si>
  <si>
    <t>1656м</t>
  </si>
  <si>
    <t>220м</t>
  </si>
  <si>
    <t>230м</t>
  </si>
  <si>
    <t>440м</t>
  </si>
  <si>
    <t>800м</t>
  </si>
  <si>
    <t>200м</t>
  </si>
  <si>
    <t>6184м</t>
  </si>
  <si>
    <t>ТО-1 Воздушные линии 0,4кВ (обходы, осмотры)</t>
  </si>
  <si>
    <t>ТО-2 Воздушные линии 0,4кВ (с отключениями)</t>
  </si>
  <si>
    <t>ТП-011/ф.Квартал Пенсионного фонда</t>
  </si>
  <si>
    <t>ТП-028/ф.рег.Палата, ф.Комсомольская,ф.Сбербанк,ф.Ателье Чайка</t>
  </si>
  <si>
    <t>ТО-1 Воздушные линии 6/10кВ (обходы и осмотры)</t>
  </si>
  <si>
    <t>2.3.</t>
  </si>
  <si>
    <t>ТО-2 Воздушные линии 6/10кВ. Замена РВО (Испытание,замена) (с отключениями)</t>
  </si>
  <si>
    <t>2.4.</t>
  </si>
  <si>
    <t>Составил: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</si>
</sst>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i/>
      <sz val="9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</font>
    <font>
      <b/>
      <sz val="9"/>
      <name val="Arial"/>
      <family val="2"/>
      <charset val="204"/>
    </font>
    <font>
      <sz val="9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2" fillId="0" borderId="0" xfId="1" applyFont="1"/>
    <xf numFmtId="0" fontId="1" fillId="0" borderId="0" xfId="1"/>
    <xf numFmtId="0" fontId="3" fillId="0" borderId="1" xfId="1" applyNumberFormat="1" applyFont="1" applyBorder="1" applyAlignment="1">
      <alignment vertical="center"/>
    </xf>
    <xf numFmtId="0" fontId="1" fillId="0" borderId="1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0" fontId="5" fillId="0" borderId="3" xfId="1" applyNumberFormat="1" applyFont="1" applyBorder="1" applyAlignment="1">
      <alignment horizontal="centerContinuous" vertical="center" wrapText="1"/>
    </xf>
    <xf numFmtId="0" fontId="5" fillId="0" borderId="4" xfId="1" applyNumberFormat="1" applyFont="1" applyBorder="1" applyAlignment="1">
      <alignment horizontal="centerContinuous" vertical="center" wrapText="1"/>
    </xf>
    <xf numFmtId="0" fontId="5" fillId="0" borderId="6" xfId="1" applyNumberFormat="1" applyFont="1" applyBorder="1" applyAlignment="1">
      <alignment horizontal="centerContinuous" vertical="center" wrapText="1"/>
    </xf>
    <xf numFmtId="0" fontId="5" fillId="0" borderId="5" xfId="1" applyNumberFormat="1" applyFont="1" applyBorder="1" applyAlignment="1">
      <alignment horizontal="center" vertical="center" wrapText="1"/>
    </xf>
    <xf numFmtId="0" fontId="5" fillId="0" borderId="7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vertical="center"/>
    </xf>
    <xf numFmtId="0" fontId="3" fillId="0" borderId="6" xfId="1" applyNumberFormat="1" applyFont="1" applyBorder="1" applyAlignment="1">
      <alignment vertical="center"/>
    </xf>
    <xf numFmtId="0" fontId="2" fillId="0" borderId="4" xfId="1" applyNumberFormat="1" applyFont="1" applyBorder="1" applyAlignment="1">
      <alignment vertical="center"/>
    </xf>
    <xf numFmtId="0" fontId="6" fillId="0" borderId="3" xfId="1" applyNumberFormat="1" applyFont="1" applyBorder="1" applyAlignment="1">
      <alignment vertical="center"/>
    </xf>
    <xf numFmtId="0" fontId="3" fillId="0" borderId="4" xfId="1" applyNumberFormat="1" applyFont="1" applyBorder="1" applyAlignment="1">
      <alignment vertical="center"/>
    </xf>
    <xf numFmtId="0" fontId="3" fillId="0" borderId="5" xfId="1" applyNumberFormat="1" applyFont="1" applyBorder="1" applyAlignment="1">
      <alignment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right" vertical="center"/>
    </xf>
    <xf numFmtId="1" fontId="3" fillId="0" borderId="5" xfId="1" applyNumberFormat="1" applyFont="1" applyBorder="1" applyAlignment="1">
      <alignment horizontal="right" vertical="center"/>
    </xf>
    <xf numFmtId="0" fontId="6" fillId="0" borderId="5" xfId="1" applyNumberFormat="1" applyFont="1" applyBorder="1" applyAlignment="1">
      <alignment horizontal="center" vertical="center"/>
    </xf>
    <xf numFmtId="0" fontId="6" fillId="0" borderId="5" xfId="1" applyNumberFormat="1" applyFont="1" applyBorder="1" applyAlignment="1">
      <alignment horizontal="right" vertical="center"/>
    </xf>
    <xf numFmtId="1" fontId="6" fillId="0" borderId="5" xfId="1" applyNumberFormat="1" applyFont="1" applyBorder="1" applyAlignment="1">
      <alignment horizontal="right" vertical="center"/>
    </xf>
    <xf numFmtId="0" fontId="2" fillId="0" borderId="5" xfId="1" applyNumberFormat="1" applyFont="1" applyBorder="1" applyAlignment="1">
      <alignment horizontal="right" vertical="center"/>
    </xf>
    <xf numFmtId="1" fontId="2" fillId="0" borderId="5" xfId="1" applyNumberFormat="1" applyFont="1" applyBorder="1" applyAlignment="1">
      <alignment horizontal="right" vertical="center"/>
    </xf>
    <xf numFmtId="2" fontId="6" fillId="0" borderId="5" xfId="1" applyNumberFormat="1" applyFont="1" applyBorder="1" applyAlignment="1">
      <alignment horizontal="right" vertical="center"/>
    </xf>
    <xf numFmtId="3" fontId="2" fillId="0" borderId="5" xfId="1" applyNumberFormat="1" applyFont="1" applyBorder="1" applyAlignment="1">
      <alignment horizontal="right" vertical="center"/>
    </xf>
    <xf numFmtId="0" fontId="1" fillId="0" borderId="0" xfId="1" applyAlignment="1">
      <alignment horizontal="center"/>
    </xf>
    <xf numFmtId="0" fontId="3" fillId="0" borderId="1" xfId="1" applyNumberFormat="1" applyFont="1" applyBorder="1" applyAlignment="1">
      <alignment horizontal="center" vertical="center"/>
    </xf>
    <xf numFmtId="4" fontId="2" fillId="0" borderId="5" xfId="1" applyNumberFormat="1" applyFont="1" applyBorder="1" applyAlignment="1">
      <alignment vertical="center"/>
    </xf>
    <xf numFmtId="3" fontId="3" fillId="0" borderId="5" xfId="1" applyNumberFormat="1" applyFont="1" applyBorder="1" applyAlignment="1">
      <alignment horizontal="right" vertical="center"/>
    </xf>
    <xf numFmtId="3" fontId="2" fillId="0" borderId="6" xfId="1" applyNumberFormat="1" applyFont="1" applyBorder="1" applyAlignment="1">
      <alignment vertical="center"/>
    </xf>
    <xf numFmtId="3" fontId="3" fillId="0" borderId="6" xfId="1" applyNumberFormat="1" applyFont="1" applyBorder="1" applyAlignment="1">
      <alignment vertical="center"/>
    </xf>
    <xf numFmtId="3" fontId="6" fillId="0" borderId="5" xfId="1" applyNumberFormat="1" applyFont="1" applyBorder="1" applyAlignment="1">
      <alignment horizontal="right" vertical="center"/>
    </xf>
    <xf numFmtId="3" fontId="2" fillId="0" borderId="5" xfId="1" applyNumberFormat="1" applyFont="1" applyBorder="1" applyAlignment="1">
      <alignment vertical="center"/>
    </xf>
    <xf numFmtId="0" fontId="3" fillId="0" borderId="5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2" fontId="7" fillId="0" borderId="5" xfId="1" applyNumberFormat="1" applyFont="1" applyBorder="1" applyAlignment="1">
      <alignment horizontal="right" vertical="center"/>
    </xf>
    <xf numFmtId="0" fontId="9" fillId="0" borderId="0" xfId="0" applyFont="1"/>
    <xf numFmtId="0" fontId="8" fillId="0" borderId="0" xfId="1" applyNumberFormat="1" applyFont="1" applyAlignment="1">
      <alignment vertical="center"/>
    </xf>
    <xf numFmtId="0" fontId="10" fillId="0" borderId="0" xfId="1" applyFont="1"/>
    <xf numFmtId="0" fontId="10" fillId="0" borderId="0" xfId="1" applyFont="1" applyAlignment="1">
      <alignment horizontal="center"/>
    </xf>
    <xf numFmtId="0" fontId="9" fillId="0" borderId="0" xfId="0" applyFont="1" applyAlignment="1">
      <alignment horizontal="center"/>
    </xf>
    <xf numFmtId="0" fontId="11" fillId="0" borderId="3" xfId="1" applyNumberFormat="1" applyFont="1" applyBorder="1" applyAlignment="1">
      <alignment vertical="center"/>
    </xf>
    <xf numFmtId="49" fontId="6" fillId="0" borderId="5" xfId="1" applyNumberFormat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49" fontId="2" fillId="2" borderId="0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2" fillId="0" borderId="6" xfId="1" applyNumberFormat="1" applyFont="1" applyBorder="1" applyAlignment="1">
      <alignment horizontal="right" vertical="center"/>
    </xf>
    <xf numFmtId="0" fontId="3" fillId="0" borderId="6" xfId="1" applyNumberFormat="1" applyFont="1" applyBorder="1" applyAlignment="1">
      <alignment horizontal="right" vertical="center"/>
    </xf>
    <xf numFmtId="0" fontId="2" fillId="0" borderId="4" xfId="1" applyNumberFormat="1" applyFont="1" applyBorder="1" applyAlignment="1">
      <alignment horizontal="right" vertical="center"/>
    </xf>
    <xf numFmtId="0" fontId="3" fillId="0" borderId="4" xfId="1" applyNumberFormat="1" applyFont="1" applyBorder="1" applyAlignment="1">
      <alignment horizontal="right" vertical="center"/>
    </xf>
    <xf numFmtId="3" fontId="2" fillId="0" borderId="6" xfId="1" applyNumberFormat="1" applyFont="1" applyBorder="1" applyAlignment="1">
      <alignment horizontal="right" vertical="center"/>
    </xf>
    <xf numFmtId="3" fontId="3" fillId="0" borderId="6" xfId="1" applyNumberFormat="1" applyFont="1" applyBorder="1" applyAlignment="1">
      <alignment horizontal="right" vertical="center"/>
    </xf>
    <xf numFmtId="0" fontId="3" fillId="0" borderId="6" xfId="1" applyNumberFormat="1" applyFont="1" applyBorder="1" applyAlignment="1">
      <alignment horizontal="center" vertical="center"/>
    </xf>
    <xf numFmtId="4" fontId="2" fillId="0" borderId="5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left" vertical="center"/>
    </xf>
    <xf numFmtId="0" fontId="6" fillId="0" borderId="3" xfId="1" applyNumberFormat="1" applyFont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 wrapText="1"/>
    </xf>
    <xf numFmtId="4" fontId="3" fillId="0" borderId="5" xfId="1" applyNumberFormat="1" applyFont="1" applyBorder="1" applyAlignment="1">
      <alignment horizontal="right" vertical="center"/>
    </xf>
    <xf numFmtId="0" fontId="2" fillId="0" borderId="3" xfId="1" applyNumberFormat="1" applyFont="1" applyBorder="1" applyAlignment="1">
      <alignment horizontal="right" vertical="center"/>
    </xf>
    <xf numFmtId="0" fontId="2" fillId="0" borderId="4" xfId="1" applyNumberFormat="1" applyFont="1" applyBorder="1" applyAlignment="1">
      <alignment horizontal="center" vertical="center"/>
    </xf>
    <xf numFmtId="0" fontId="6" fillId="0" borderId="3" xfId="1" applyNumberFormat="1" applyFont="1" applyBorder="1" applyAlignment="1">
      <alignment horizontal="right" vertical="center"/>
    </xf>
    <xf numFmtId="0" fontId="6" fillId="0" borderId="4" xfId="1" applyNumberFormat="1" applyFont="1" applyBorder="1" applyAlignment="1">
      <alignment horizontal="center" vertical="center"/>
    </xf>
    <xf numFmtId="0" fontId="8" fillId="0" borderId="0" xfId="1" applyNumberFormat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NumberFormat="1" applyFont="1" applyAlignment="1">
      <alignment horizontal="center" wrapText="1"/>
    </xf>
    <xf numFmtId="0" fontId="3" fillId="0" borderId="0" xfId="1" applyNumberFormat="1" applyFont="1" applyAlignment="1">
      <alignment horizontal="left"/>
    </xf>
    <xf numFmtId="0" fontId="4" fillId="0" borderId="0" xfId="1" applyNumberFormat="1" applyFont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0" fontId="5" fillId="0" borderId="7" xfId="1" applyNumberFormat="1" applyFont="1" applyBorder="1" applyAlignment="1">
      <alignment horizontal="center" vertical="center" wrapText="1"/>
    </xf>
    <xf numFmtId="0" fontId="3" fillId="0" borderId="0" xfId="1" applyNumberFormat="1" applyFont="1" applyAlignment="1">
      <alignment horizontal="left" vertical="top" wrapText="1"/>
    </xf>
    <xf numFmtId="0" fontId="3" fillId="0" borderId="0" xfId="1" applyNumberFormat="1" applyFont="1" applyAlignment="1">
      <alignment horizontal="left" wrapText="1"/>
    </xf>
    <xf numFmtId="0" fontId="5" fillId="0" borderId="5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36"/>
  <sheetViews>
    <sheetView tabSelected="1" view="pageBreakPreview" topLeftCell="A118" zoomScale="85" zoomScaleSheetLayoutView="85" workbookViewId="0">
      <selection activeCell="C66" sqref="C66"/>
    </sheetView>
  </sheetViews>
  <sheetFormatPr defaultRowHeight="15"/>
  <cols>
    <col min="1" max="1" width="7" style="38" customWidth="1"/>
    <col min="2" max="2" width="28.28515625" customWidth="1"/>
    <col min="4" max="4" width="12.42578125" bestFit="1" customWidth="1"/>
    <col min="6" max="6" width="11" customWidth="1"/>
  </cols>
  <sheetData>
    <row r="1" spans="1:11">
      <c r="A1" s="74" t="s">
        <v>0</v>
      </c>
      <c r="B1" s="74"/>
      <c r="C1" s="2"/>
      <c r="D1" s="2"/>
      <c r="E1" s="2"/>
      <c r="F1" s="2"/>
      <c r="G1" s="2"/>
      <c r="H1" s="1" t="s">
        <v>1</v>
      </c>
      <c r="I1" s="2"/>
      <c r="J1" s="2"/>
      <c r="K1" s="2"/>
    </row>
    <row r="2" spans="1:11">
      <c r="A2" s="28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5" customHeight="1">
      <c r="A3" s="80" t="s">
        <v>55</v>
      </c>
      <c r="B3" s="80"/>
      <c r="C3" s="2"/>
      <c r="D3" s="2"/>
      <c r="E3" s="2"/>
      <c r="F3" s="2"/>
      <c r="G3" s="2"/>
      <c r="H3" s="75" t="s">
        <v>2</v>
      </c>
      <c r="I3" s="75"/>
      <c r="J3" s="2"/>
      <c r="K3" s="2"/>
    </row>
    <row r="4" spans="1:11">
      <c r="A4" s="29"/>
      <c r="B4" s="5" t="s">
        <v>3</v>
      </c>
      <c r="C4" s="2"/>
      <c r="D4" s="2"/>
      <c r="E4" s="2"/>
      <c r="F4" s="2"/>
      <c r="G4" s="2"/>
      <c r="H4" s="3"/>
      <c r="I4" s="4"/>
      <c r="J4" s="76" t="s">
        <v>4</v>
      </c>
      <c r="K4" s="76"/>
    </row>
    <row r="5" spans="1:11">
      <c r="A5" s="28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15" customHeight="1">
      <c r="A6" s="81" t="s">
        <v>5</v>
      </c>
      <c r="B6" s="81"/>
      <c r="C6" s="2"/>
      <c r="D6" s="2"/>
      <c r="E6" s="2"/>
      <c r="F6" s="2"/>
      <c r="G6" s="2"/>
      <c r="H6" s="2"/>
      <c r="I6" s="2"/>
      <c r="J6" s="2"/>
      <c r="K6" s="2"/>
    </row>
    <row r="7" spans="1:11">
      <c r="A7" s="29"/>
      <c r="B7" s="5" t="s">
        <v>6</v>
      </c>
      <c r="C7" s="2"/>
      <c r="D7" s="2"/>
      <c r="E7" s="2"/>
      <c r="F7" s="2"/>
      <c r="G7" s="2"/>
      <c r="H7" s="2"/>
      <c r="I7" s="2"/>
      <c r="J7" s="2"/>
      <c r="K7" s="2"/>
    </row>
    <row r="8" spans="1:11">
      <c r="A8" s="28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>
      <c r="A9" s="77" t="s">
        <v>56</v>
      </c>
      <c r="B9" s="77"/>
      <c r="C9" s="77"/>
      <c r="D9" s="77"/>
      <c r="E9" s="77"/>
      <c r="F9" s="77"/>
      <c r="G9" s="77"/>
      <c r="H9" s="77"/>
      <c r="I9" s="77"/>
      <c r="J9" s="77"/>
      <c r="K9" s="77"/>
    </row>
    <row r="10" spans="1:11">
      <c r="A10" s="28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28.5" customHeight="1">
      <c r="A11" s="78" t="s">
        <v>7</v>
      </c>
      <c r="B11" s="78" t="s">
        <v>8</v>
      </c>
      <c r="C11" s="78" t="s">
        <v>9</v>
      </c>
      <c r="D11" s="6" t="s">
        <v>10</v>
      </c>
      <c r="E11" s="7"/>
      <c r="F11" s="82" t="s">
        <v>11</v>
      </c>
      <c r="G11" s="82"/>
      <c r="H11" s="6" t="s">
        <v>12</v>
      </c>
      <c r="I11" s="8"/>
      <c r="J11" s="8"/>
      <c r="K11" s="7"/>
    </row>
    <row r="12" spans="1:11" ht="78.75">
      <c r="A12" s="79"/>
      <c r="B12" s="79"/>
      <c r="C12" s="79"/>
      <c r="D12" s="9" t="s">
        <v>13</v>
      </c>
      <c r="E12" s="9" t="s">
        <v>14</v>
      </c>
      <c r="F12" s="10" t="s">
        <v>15</v>
      </c>
      <c r="G12" s="10" t="s">
        <v>16</v>
      </c>
      <c r="H12" s="9" t="s">
        <v>17</v>
      </c>
      <c r="I12" s="9" t="s">
        <v>18</v>
      </c>
      <c r="J12" s="9" t="s">
        <v>19</v>
      </c>
      <c r="K12" s="9" t="s">
        <v>20</v>
      </c>
    </row>
    <row r="13" spans="1:11">
      <c r="A13" s="37" t="s">
        <v>21</v>
      </c>
      <c r="B13" s="45" t="s">
        <v>79</v>
      </c>
      <c r="C13" s="13"/>
      <c r="D13" s="12"/>
      <c r="E13" s="12"/>
      <c r="F13" s="13"/>
      <c r="G13" s="13"/>
      <c r="H13" s="12"/>
      <c r="I13" s="12"/>
      <c r="J13" s="12"/>
      <c r="K13" s="14"/>
    </row>
    <row r="14" spans="1:11">
      <c r="A14" s="21" t="s">
        <v>23</v>
      </c>
      <c r="B14" s="15" t="s">
        <v>24</v>
      </c>
      <c r="C14" s="13"/>
      <c r="D14" s="13"/>
      <c r="E14" s="13"/>
      <c r="F14" s="13"/>
      <c r="G14" s="13"/>
      <c r="H14" s="13"/>
      <c r="I14" s="13"/>
      <c r="J14" s="13"/>
      <c r="K14" s="16"/>
    </row>
    <row r="15" spans="1:11" ht="28.5" customHeight="1">
      <c r="A15" s="36" t="s">
        <v>25</v>
      </c>
      <c r="B15" s="17" t="s">
        <v>36</v>
      </c>
      <c r="C15" s="18" t="s">
        <v>26</v>
      </c>
      <c r="D15" s="31">
        <v>130000</v>
      </c>
      <c r="E15" s="19"/>
      <c r="F15" s="31">
        <v>100000</v>
      </c>
      <c r="G15" s="19"/>
      <c r="H15" s="20">
        <v>320</v>
      </c>
      <c r="I15" s="19"/>
      <c r="J15" s="19">
        <v>0</v>
      </c>
      <c r="K15" s="19">
        <v>0</v>
      </c>
    </row>
    <row r="16" spans="1:11">
      <c r="A16" s="69" t="s">
        <v>65</v>
      </c>
      <c r="B16" s="70"/>
      <c r="C16" s="24"/>
      <c r="D16" s="27">
        <f>D15</f>
        <v>130000</v>
      </c>
      <c r="E16" s="24"/>
      <c r="F16" s="27">
        <f>F15</f>
        <v>100000</v>
      </c>
      <c r="G16" s="24"/>
      <c r="H16" s="25">
        <f>H15</f>
        <v>320</v>
      </c>
      <c r="I16" s="24"/>
      <c r="J16" s="24">
        <v>0</v>
      </c>
      <c r="K16" s="24">
        <v>0</v>
      </c>
    </row>
    <row r="17" spans="1:11">
      <c r="A17" s="37" t="s">
        <v>22</v>
      </c>
      <c r="B17" s="45" t="s">
        <v>80</v>
      </c>
      <c r="C17" s="13"/>
      <c r="D17" s="32"/>
      <c r="E17" s="12"/>
      <c r="F17" s="33"/>
      <c r="G17" s="13"/>
      <c r="H17" s="12"/>
      <c r="I17" s="12"/>
      <c r="J17" s="12"/>
      <c r="K17" s="14"/>
    </row>
    <row r="18" spans="1:11">
      <c r="A18" s="21" t="s">
        <v>28</v>
      </c>
      <c r="B18" s="15" t="s">
        <v>29</v>
      </c>
      <c r="C18" s="13"/>
      <c r="D18" s="33"/>
      <c r="E18" s="13"/>
      <c r="F18" s="33"/>
      <c r="G18" s="13"/>
      <c r="H18" s="13"/>
      <c r="I18" s="13"/>
      <c r="J18" s="13"/>
      <c r="K18" s="16"/>
    </row>
    <row r="19" spans="1:11" ht="16.5" customHeight="1">
      <c r="A19" s="36">
        <v>1</v>
      </c>
      <c r="B19" s="17" t="s">
        <v>37</v>
      </c>
      <c r="C19" s="18" t="s">
        <v>26</v>
      </c>
      <c r="D19" s="31">
        <v>7065.2</v>
      </c>
      <c r="E19" s="19"/>
      <c r="F19" s="31">
        <v>1200</v>
      </c>
      <c r="G19" s="19"/>
      <c r="H19" s="20">
        <v>16</v>
      </c>
      <c r="I19" s="19"/>
      <c r="J19" s="19">
        <v>6.18</v>
      </c>
      <c r="K19" s="19">
        <v>0</v>
      </c>
    </row>
    <row r="20" spans="1:11" ht="16.5" customHeight="1">
      <c r="A20" s="36">
        <v>2</v>
      </c>
      <c r="B20" s="17" t="s">
        <v>38</v>
      </c>
      <c r="C20" s="18" t="s">
        <v>26</v>
      </c>
      <c r="D20" s="31">
        <v>7065.2</v>
      </c>
      <c r="E20" s="19"/>
      <c r="F20" s="31">
        <v>1200</v>
      </c>
      <c r="G20" s="19"/>
      <c r="H20" s="20">
        <v>16</v>
      </c>
      <c r="I20" s="19"/>
      <c r="J20" s="19">
        <v>6.18</v>
      </c>
      <c r="K20" s="19">
        <v>0</v>
      </c>
    </row>
    <row r="21" spans="1:11" ht="16.5" customHeight="1">
      <c r="A21" s="36">
        <v>3</v>
      </c>
      <c r="B21" s="17" t="s">
        <v>39</v>
      </c>
      <c r="C21" s="18" t="s">
        <v>26</v>
      </c>
      <c r="D21" s="31">
        <v>7065.2</v>
      </c>
      <c r="E21" s="19"/>
      <c r="F21" s="31">
        <v>1200</v>
      </c>
      <c r="G21" s="19"/>
      <c r="H21" s="20">
        <v>16</v>
      </c>
      <c r="I21" s="19"/>
      <c r="J21" s="19">
        <v>6.18</v>
      </c>
      <c r="K21" s="19">
        <v>0</v>
      </c>
    </row>
    <row r="22" spans="1:11" ht="16.5" customHeight="1">
      <c r="A22" s="36">
        <v>4</v>
      </c>
      <c r="B22" s="17" t="s">
        <v>40</v>
      </c>
      <c r="C22" s="18" t="s">
        <v>26</v>
      </c>
      <c r="D22" s="31">
        <v>7065.2</v>
      </c>
      <c r="E22" s="19"/>
      <c r="F22" s="31">
        <v>1200</v>
      </c>
      <c r="G22" s="19"/>
      <c r="H22" s="20">
        <v>16</v>
      </c>
      <c r="I22" s="19"/>
      <c r="J22" s="19">
        <v>6.18</v>
      </c>
      <c r="K22" s="19">
        <v>0</v>
      </c>
    </row>
    <row r="23" spans="1:11" ht="16.5" customHeight="1">
      <c r="A23" s="36">
        <v>5</v>
      </c>
      <c r="B23" s="17" t="s">
        <v>41</v>
      </c>
      <c r="C23" s="18" t="s">
        <v>26</v>
      </c>
      <c r="D23" s="31">
        <v>7065.2</v>
      </c>
      <c r="E23" s="19"/>
      <c r="F23" s="31">
        <v>1200</v>
      </c>
      <c r="G23" s="19"/>
      <c r="H23" s="20">
        <v>16</v>
      </c>
      <c r="I23" s="19"/>
      <c r="J23" s="19">
        <v>6.18</v>
      </c>
      <c r="K23" s="19">
        <v>0</v>
      </c>
    </row>
    <row r="24" spans="1:11" ht="16.5" customHeight="1">
      <c r="A24" s="36">
        <v>6</v>
      </c>
      <c r="B24" s="17" t="s">
        <v>42</v>
      </c>
      <c r="C24" s="18" t="s">
        <v>26</v>
      </c>
      <c r="D24" s="31">
        <v>7065.2</v>
      </c>
      <c r="E24" s="19"/>
      <c r="F24" s="31">
        <v>1200</v>
      </c>
      <c r="G24" s="19"/>
      <c r="H24" s="20">
        <v>16</v>
      </c>
      <c r="I24" s="19"/>
      <c r="J24" s="19">
        <v>6.18</v>
      </c>
      <c r="K24" s="19">
        <v>0</v>
      </c>
    </row>
    <row r="25" spans="1:11" ht="16.5" customHeight="1">
      <c r="A25" s="36">
        <v>7</v>
      </c>
      <c r="B25" s="17" t="s">
        <v>43</v>
      </c>
      <c r="C25" s="18" t="s">
        <v>26</v>
      </c>
      <c r="D25" s="31">
        <v>7065.2</v>
      </c>
      <c r="E25" s="19"/>
      <c r="F25" s="31">
        <v>1200</v>
      </c>
      <c r="G25" s="19"/>
      <c r="H25" s="20">
        <v>16</v>
      </c>
      <c r="I25" s="19"/>
      <c r="J25" s="19">
        <v>6.18</v>
      </c>
      <c r="K25" s="19">
        <v>0</v>
      </c>
    </row>
    <row r="26" spans="1:11" ht="16.5" customHeight="1">
      <c r="A26" s="36">
        <v>8</v>
      </c>
      <c r="B26" s="17" t="s">
        <v>44</v>
      </c>
      <c r="C26" s="18" t="s">
        <v>26</v>
      </c>
      <c r="D26" s="31">
        <v>7065.2</v>
      </c>
      <c r="E26" s="19"/>
      <c r="F26" s="31">
        <v>1200</v>
      </c>
      <c r="G26" s="19"/>
      <c r="H26" s="20">
        <v>16</v>
      </c>
      <c r="I26" s="19"/>
      <c r="J26" s="19">
        <v>6.18</v>
      </c>
      <c r="K26" s="19">
        <v>0</v>
      </c>
    </row>
    <row r="27" spans="1:11" ht="16.5" customHeight="1">
      <c r="A27" s="36">
        <v>9</v>
      </c>
      <c r="B27" s="17" t="s">
        <v>45</v>
      </c>
      <c r="C27" s="18" t="s">
        <v>26</v>
      </c>
      <c r="D27" s="31">
        <v>7065.2</v>
      </c>
      <c r="E27" s="19"/>
      <c r="F27" s="31">
        <v>1200</v>
      </c>
      <c r="G27" s="19"/>
      <c r="H27" s="20">
        <v>16</v>
      </c>
      <c r="I27" s="19"/>
      <c r="J27" s="19">
        <v>6.18</v>
      </c>
      <c r="K27" s="19">
        <v>0</v>
      </c>
    </row>
    <row r="28" spans="1:11" ht="16.5" customHeight="1">
      <c r="A28" s="36">
        <v>10</v>
      </c>
      <c r="B28" s="17" t="s">
        <v>46</v>
      </c>
      <c r="C28" s="18" t="s">
        <v>26</v>
      </c>
      <c r="D28" s="31">
        <v>7065.2</v>
      </c>
      <c r="E28" s="19"/>
      <c r="F28" s="31">
        <v>1200</v>
      </c>
      <c r="G28" s="19"/>
      <c r="H28" s="20">
        <v>16</v>
      </c>
      <c r="I28" s="19"/>
      <c r="J28" s="19">
        <v>6.18</v>
      </c>
      <c r="K28" s="19">
        <v>0</v>
      </c>
    </row>
    <row r="29" spans="1:11" ht="16.5" customHeight="1">
      <c r="A29" s="36">
        <v>11</v>
      </c>
      <c r="B29" s="17" t="s">
        <v>47</v>
      </c>
      <c r="C29" s="18" t="s">
        <v>26</v>
      </c>
      <c r="D29" s="31">
        <v>7065.2</v>
      </c>
      <c r="E29" s="19"/>
      <c r="F29" s="31">
        <v>1200</v>
      </c>
      <c r="G29" s="19"/>
      <c r="H29" s="20">
        <v>16</v>
      </c>
      <c r="I29" s="19"/>
      <c r="J29" s="19">
        <v>6.18</v>
      </c>
      <c r="K29" s="19">
        <v>0</v>
      </c>
    </row>
    <row r="30" spans="1:11" ht="16.5" customHeight="1">
      <c r="A30" s="36">
        <v>12</v>
      </c>
      <c r="B30" s="17" t="s">
        <v>48</v>
      </c>
      <c r="C30" s="18" t="s">
        <v>26</v>
      </c>
      <c r="D30" s="31">
        <v>7065.2</v>
      </c>
      <c r="E30" s="19"/>
      <c r="F30" s="31">
        <v>1200</v>
      </c>
      <c r="G30" s="19"/>
      <c r="H30" s="20">
        <v>16</v>
      </c>
      <c r="I30" s="19"/>
      <c r="J30" s="19">
        <v>6.18</v>
      </c>
      <c r="K30" s="19">
        <v>0</v>
      </c>
    </row>
    <row r="31" spans="1:11" ht="16.5" customHeight="1">
      <c r="A31" s="36">
        <v>13</v>
      </c>
      <c r="B31" s="17" t="s">
        <v>49</v>
      </c>
      <c r="C31" s="18" t="s">
        <v>26</v>
      </c>
      <c r="D31" s="31">
        <v>7065.2</v>
      </c>
      <c r="E31" s="19"/>
      <c r="F31" s="31">
        <v>1200</v>
      </c>
      <c r="G31" s="19"/>
      <c r="H31" s="20">
        <v>16</v>
      </c>
      <c r="I31" s="19"/>
      <c r="J31" s="19">
        <v>6.18</v>
      </c>
      <c r="K31" s="19">
        <v>0</v>
      </c>
    </row>
    <row r="32" spans="1:11" ht="16.5" customHeight="1">
      <c r="A32" s="36">
        <v>14</v>
      </c>
      <c r="B32" s="17" t="s">
        <v>50</v>
      </c>
      <c r="C32" s="18" t="s">
        <v>26</v>
      </c>
      <c r="D32" s="31">
        <v>7065.2</v>
      </c>
      <c r="E32" s="19"/>
      <c r="F32" s="31">
        <v>1200</v>
      </c>
      <c r="G32" s="19"/>
      <c r="H32" s="20">
        <v>16</v>
      </c>
      <c r="I32" s="19"/>
      <c r="J32" s="19">
        <v>6.18</v>
      </c>
      <c r="K32" s="19">
        <v>0</v>
      </c>
    </row>
    <row r="33" spans="1:11" ht="16.5" customHeight="1">
      <c r="A33" s="36">
        <v>15</v>
      </c>
      <c r="B33" s="17" t="s">
        <v>51</v>
      </c>
      <c r="C33" s="18" t="s">
        <v>26</v>
      </c>
      <c r="D33" s="31">
        <v>7065.2</v>
      </c>
      <c r="E33" s="19"/>
      <c r="F33" s="31">
        <v>1200</v>
      </c>
      <c r="G33" s="19"/>
      <c r="H33" s="20">
        <v>16</v>
      </c>
      <c r="I33" s="19"/>
      <c r="J33" s="19">
        <v>6.18</v>
      </c>
      <c r="K33" s="19">
        <v>0</v>
      </c>
    </row>
    <row r="34" spans="1:11">
      <c r="A34" s="71" t="s">
        <v>27</v>
      </c>
      <c r="B34" s="72"/>
      <c r="C34" s="21" t="s">
        <v>21</v>
      </c>
      <c r="D34" s="34">
        <f>SUM(D19:D33)</f>
        <v>105977.99999999997</v>
      </c>
      <c r="E34" s="22"/>
      <c r="F34" s="34">
        <f>SUM(F19:F33)</f>
        <v>18000</v>
      </c>
      <c r="G34" s="22"/>
      <c r="H34" s="23">
        <f>SUM(H19:H33)</f>
        <v>240</v>
      </c>
      <c r="I34" s="22"/>
      <c r="J34" s="23">
        <f t="shared" ref="J34:K34" si="0">SUM(J19:J33)</f>
        <v>92.700000000000017</v>
      </c>
      <c r="K34" s="23">
        <f t="shared" si="0"/>
        <v>0</v>
      </c>
    </row>
    <row r="35" spans="1:11">
      <c r="A35" s="21" t="s">
        <v>30</v>
      </c>
      <c r="B35" s="15" t="s">
        <v>31</v>
      </c>
      <c r="C35" s="13"/>
      <c r="D35" s="33"/>
      <c r="E35" s="13"/>
      <c r="F35" s="33"/>
      <c r="G35" s="13"/>
      <c r="H35" s="13"/>
      <c r="I35" s="13"/>
      <c r="J35" s="13"/>
      <c r="K35" s="16"/>
    </row>
    <row r="36" spans="1:11">
      <c r="A36" s="36">
        <v>1</v>
      </c>
      <c r="B36" s="17" t="s">
        <v>52</v>
      </c>
      <c r="C36" s="18" t="s">
        <v>26</v>
      </c>
      <c r="D36" s="31">
        <v>120000</v>
      </c>
      <c r="E36" s="19"/>
      <c r="F36" s="31">
        <v>50000</v>
      </c>
      <c r="G36" s="19"/>
      <c r="H36" s="20">
        <v>178</v>
      </c>
      <c r="I36" s="19"/>
      <c r="J36" s="39">
        <v>165.18</v>
      </c>
      <c r="K36" s="39">
        <v>50.22</v>
      </c>
    </row>
    <row r="37" spans="1:11">
      <c r="A37" s="36">
        <v>2</v>
      </c>
      <c r="B37" s="17" t="s">
        <v>54</v>
      </c>
      <c r="C37" s="18" t="s">
        <v>26</v>
      </c>
      <c r="D37" s="31"/>
      <c r="E37" s="19"/>
      <c r="F37" s="31"/>
      <c r="G37" s="19"/>
      <c r="H37" s="20">
        <v>178</v>
      </c>
      <c r="I37" s="19"/>
      <c r="J37" s="39">
        <v>148.11000000000001</v>
      </c>
      <c r="K37" s="39">
        <v>62.17</v>
      </c>
    </row>
    <row r="38" spans="1:11">
      <c r="A38" s="71" t="s">
        <v>27</v>
      </c>
      <c r="B38" s="72"/>
      <c r="C38" s="21" t="s">
        <v>21</v>
      </c>
      <c r="D38" s="34">
        <f>D36</f>
        <v>120000</v>
      </c>
      <c r="E38" s="22"/>
      <c r="F38" s="34">
        <f>F36</f>
        <v>50000</v>
      </c>
      <c r="G38" s="22"/>
      <c r="H38" s="23">
        <f>H37+H36</f>
        <v>356</v>
      </c>
      <c r="I38" s="22"/>
      <c r="J38" s="26">
        <f>SUM(J36:J37)</f>
        <v>313.29000000000002</v>
      </c>
      <c r="K38" s="26">
        <f>SUM(K36:K37)</f>
        <v>112.39</v>
      </c>
    </row>
    <row r="39" spans="1:11">
      <c r="A39" s="21" t="s">
        <v>32</v>
      </c>
      <c r="B39" s="15" t="s">
        <v>33</v>
      </c>
      <c r="C39" s="13"/>
      <c r="D39" s="33"/>
      <c r="E39" s="13"/>
      <c r="F39" s="33"/>
      <c r="G39" s="13"/>
      <c r="H39" s="13"/>
      <c r="I39" s="13"/>
      <c r="J39" s="13"/>
      <c r="K39" s="16"/>
    </row>
    <row r="40" spans="1:11">
      <c r="A40" s="36">
        <v>1</v>
      </c>
      <c r="B40" s="17" t="s">
        <v>53</v>
      </c>
      <c r="C40" s="18" t="s">
        <v>26</v>
      </c>
      <c r="D40" s="31">
        <v>120000</v>
      </c>
      <c r="E40" s="19"/>
      <c r="F40" s="31">
        <v>51000</v>
      </c>
      <c r="G40" s="19"/>
      <c r="H40" s="20">
        <v>178</v>
      </c>
      <c r="I40" s="19"/>
      <c r="J40" s="39">
        <v>150.18</v>
      </c>
      <c r="K40" s="39">
        <v>50.22</v>
      </c>
    </row>
    <row r="41" spans="1:11">
      <c r="A41" s="36">
        <v>2</v>
      </c>
      <c r="B41" s="17" t="s">
        <v>54</v>
      </c>
      <c r="C41" s="18" t="s">
        <v>26</v>
      </c>
      <c r="D41" s="31"/>
      <c r="E41" s="19"/>
      <c r="F41" s="31"/>
      <c r="G41" s="19"/>
      <c r="H41" s="20">
        <v>178</v>
      </c>
      <c r="I41" s="19"/>
      <c r="J41" s="39">
        <v>108.11</v>
      </c>
      <c r="K41" s="39">
        <v>62.17</v>
      </c>
    </row>
    <row r="42" spans="1:11">
      <c r="A42" s="71" t="s">
        <v>27</v>
      </c>
      <c r="B42" s="72"/>
      <c r="C42" s="21" t="s">
        <v>21</v>
      </c>
      <c r="D42" s="34">
        <f>D40</f>
        <v>120000</v>
      </c>
      <c r="E42" s="22"/>
      <c r="F42" s="34">
        <f>F40</f>
        <v>51000</v>
      </c>
      <c r="G42" s="22"/>
      <c r="H42" s="23">
        <f>H41+H40</f>
        <v>356</v>
      </c>
      <c r="I42" s="22"/>
      <c r="J42" s="26">
        <f>SUM(J40:J41)</f>
        <v>258.29000000000002</v>
      </c>
      <c r="K42" s="26">
        <f>SUM(K40:K41)</f>
        <v>112.39</v>
      </c>
    </row>
    <row r="43" spans="1:11">
      <c r="A43" s="21" t="s">
        <v>34</v>
      </c>
      <c r="B43" s="15" t="s">
        <v>57</v>
      </c>
      <c r="C43" s="13"/>
      <c r="D43" s="33"/>
      <c r="E43" s="13"/>
      <c r="F43" s="33"/>
      <c r="G43" s="13"/>
      <c r="H43" s="13"/>
      <c r="I43" s="13"/>
      <c r="J43" s="13"/>
      <c r="K43" s="16"/>
    </row>
    <row r="44" spans="1:11" ht="16.5" customHeight="1">
      <c r="A44" s="36">
        <v>1</v>
      </c>
      <c r="B44" s="17" t="s">
        <v>58</v>
      </c>
      <c r="C44" s="18" t="s">
        <v>26</v>
      </c>
      <c r="D44" s="31">
        <v>19146</v>
      </c>
      <c r="E44" s="19"/>
      <c r="F44" s="31">
        <v>0</v>
      </c>
      <c r="G44" s="19"/>
      <c r="H44" s="20">
        <v>24</v>
      </c>
      <c r="I44" s="19"/>
      <c r="J44" s="19">
        <v>7.19</v>
      </c>
      <c r="K44" s="19">
        <v>0</v>
      </c>
    </row>
    <row r="45" spans="1:11" ht="16.5" customHeight="1">
      <c r="A45" s="36">
        <v>2</v>
      </c>
      <c r="B45" s="17" t="s">
        <v>59</v>
      </c>
      <c r="C45" s="18" t="s">
        <v>26</v>
      </c>
      <c r="D45" s="31">
        <v>19146</v>
      </c>
      <c r="E45" s="19"/>
      <c r="F45" s="31">
        <v>0</v>
      </c>
      <c r="G45" s="19"/>
      <c r="H45" s="20">
        <v>24</v>
      </c>
      <c r="I45" s="19"/>
      <c r="J45" s="19">
        <v>7.19</v>
      </c>
      <c r="K45" s="19">
        <v>0</v>
      </c>
    </row>
    <row r="46" spans="1:11" ht="16.5" customHeight="1">
      <c r="A46" s="36">
        <v>3</v>
      </c>
      <c r="B46" s="17" t="s">
        <v>60</v>
      </c>
      <c r="C46" s="18" t="s">
        <v>26</v>
      </c>
      <c r="D46" s="31">
        <v>19146</v>
      </c>
      <c r="E46" s="19"/>
      <c r="F46" s="31">
        <v>0</v>
      </c>
      <c r="G46" s="19"/>
      <c r="H46" s="20">
        <v>24</v>
      </c>
      <c r="I46" s="19"/>
      <c r="J46" s="19">
        <v>7.19</v>
      </c>
      <c r="K46" s="19">
        <v>0</v>
      </c>
    </row>
    <row r="47" spans="1:11" ht="16.5" customHeight="1">
      <c r="A47" s="36">
        <v>4</v>
      </c>
      <c r="B47" s="17" t="s">
        <v>61</v>
      </c>
      <c r="C47" s="18" t="s">
        <v>26</v>
      </c>
      <c r="D47" s="31">
        <v>19146</v>
      </c>
      <c r="E47" s="19"/>
      <c r="F47" s="31">
        <v>0</v>
      </c>
      <c r="G47" s="19"/>
      <c r="H47" s="20">
        <v>24</v>
      </c>
      <c r="I47" s="19"/>
      <c r="J47" s="19">
        <v>7.19</v>
      </c>
      <c r="K47" s="19">
        <v>0</v>
      </c>
    </row>
    <row r="48" spans="1:11" ht="16.5" customHeight="1">
      <c r="A48" s="36">
        <v>5</v>
      </c>
      <c r="B48" s="17" t="s">
        <v>62</v>
      </c>
      <c r="C48" s="18" t="s">
        <v>26</v>
      </c>
      <c r="D48" s="31">
        <v>19146</v>
      </c>
      <c r="E48" s="19"/>
      <c r="F48" s="31">
        <v>0</v>
      </c>
      <c r="G48" s="19"/>
      <c r="H48" s="20">
        <v>24</v>
      </c>
      <c r="I48" s="19"/>
      <c r="J48" s="19">
        <v>7.19</v>
      </c>
      <c r="K48" s="19">
        <v>0</v>
      </c>
    </row>
    <row r="49" spans="1:11" ht="16.5" customHeight="1">
      <c r="A49" s="36">
        <v>6</v>
      </c>
      <c r="B49" s="17" t="s">
        <v>63</v>
      </c>
      <c r="C49" s="18" t="s">
        <v>26</v>
      </c>
      <c r="D49" s="31">
        <v>19146</v>
      </c>
      <c r="E49" s="19"/>
      <c r="F49" s="31">
        <v>0</v>
      </c>
      <c r="G49" s="19"/>
      <c r="H49" s="20">
        <v>24</v>
      </c>
      <c r="I49" s="19"/>
      <c r="J49" s="19">
        <v>7.19</v>
      </c>
      <c r="K49" s="19">
        <v>0</v>
      </c>
    </row>
    <row r="50" spans="1:11">
      <c r="A50" s="36">
        <v>7</v>
      </c>
      <c r="B50" s="17" t="s">
        <v>64</v>
      </c>
      <c r="C50" s="18" t="s">
        <v>26</v>
      </c>
      <c r="D50" s="31">
        <v>19146</v>
      </c>
      <c r="E50" s="19"/>
      <c r="F50" s="31">
        <v>0</v>
      </c>
      <c r="G50" s="19"/>
      <c r="H50" s="20">
        <v>24</v>
      </c>
      <c r="I50" s="19"/>
      <c r="J50" s="19">
        <v>7.19</v>
      </c>
      <c r="K50" s="19">
        <v>0</v>
      </c>
    </row>
    <row r="51" spans="1:11">
      <c r="A51" s="71" t="s">
        <v>27</v>
      </c>
      <c r="B51" s="72"/>
      <c r="C51" s="21" t="s">
        <v>21</v>
      </c>
      <c r="D51" s="34">
        <f>SUM(D44:D50)</f>
        <v>134022</v>
      </c>
      <c r="E51" s="22"/>
      <c r="F51" s="34">
        <f>SUM(F44:F50)</f>
        <v>0</v>
      </c>
      <c r="G51" s="22"/>
      <c r="H51" s="23">
        <f>SUM(H44:H50)</f>
        <v>168</v>
      </c>
      <c r="I51" s="22"/>
      <c r="J51" s="22">
        <f>SUM(J44:J50)</f>
        <v>50.33</v>
      </c>
      <c r="K51" s="22">
        <f>SUM(K44:K50)</f>
        <v>0</v>
      </c>
    </row>
    <row r="52" spans="1:11">
      <c r="A52" s="69" t="s">
        <v>66</v>
      </c>
      <c r="B52" s="70"/>
      <c r="C52" s="30"/>
      <c r="D52" s="35">
        <f>D51+D42+D38+D34</f>
        <v>480000</v>
      </c>
      <c r="E52" s="24"/>
      <c r="F52" s="27">
        <f>F51+F42+F38+F34</f>
        <v>119000</v>
      </c>
      <c r="G52" s="24"/>
      <c r="H52" s="25">
        <f>H51+H42+H38+H34</f>
        <v>1120</v>
      </c>
      <c r="I52" s="24"/>
      <c r="J52" s="25">
        <f>J51+J42+J38+J34</f>
        <v>714.61000000000013</v>
      </c>
      <c r="K52" s="25">
        <f>K51+K42+K38+K34</f>
        <v>224.78</v>
      </c>
    </row>
    <row r="53" spans="1:11">
      <c r="A53" s="69" t="s">
        <v>35</v>
      </c>
      <c r="B53" s="70"/>
      <c r="C53" s="24"/>
      <c r="D53" s="27">
        <f>D52+D16</f>
        <v>610000</v>
      </c>
      <c r="E53" s="24"/>
      <c r="F53" s="27">
        <f>F52+F16</f>
        <v>219000</v>
      </c>
      <c r="G53" s="24"/>
      <c r="H53" s="25">
        <f>H52+H16</f>
        <v>1440</v>
      </c>
      <c r="I53" s="24"/>
      <c r="J53" s="25">
        <f>J52+J16</f>
        <v>714.61000000000013</v>
      </c>
      <c r="K53" s="25">
        <f>K52+K16</f>
        <v>224.78</v>
      </c>
    </row>
    <row r="54" spans="1:11">
      <c r="A54" s="21">
        <v>3</v>
      </c>
      <c r="B54" s="15" t="s">
        <v>70</v>
      </c>
      <c r="C54" s="13"/>
      <c r="D54" s="33"/>
      <c r="E54" s="13"/>
      <c r="F54" s="33"/>
      <c r="G54" s="13"/>
      <c r="H54" s="13"/>
      <c r="I54" s="13"/>
      <c r="J54" s="13"/>
      <c r="K54" s="16"/>
    </row>
    <row r="55" spans="1:11" ht="91.5" customHeight="1">
      <c r="A55" s="36">
        <v>1</v>
      </c>
      <c r="B55" s="17" t="s">
        <v>71</v>
      </c>
      <c r="C55" s="18" t="s">
        <v>26</v>
      </c>
      <c r="D55" s="31">
        <v>1485000</v>
      </c>
      <c r="E55" s="19"/>
      <c r="F55" s="31">
        <v>1214528</v>
      </c>
      <c r="G55" s="19"/>
      <c r="H55" s="20">
        <v>541</v>
      </c>
      <c r="I55" s="19"/>
      <c r="J55" s="19">
        <v>577.19000000000005</v>
      </c>
      <c r="K55" s="19">
        <v>478.33</v>
      </c>
    </row>
    <row r="56" spans="1:11" ht="45.75" customHeight="1">
      <c r="A56" s="36">
        <v>2</v>
      </c>
      <c r="B56" s="17" t="s">
        <v>72</v>
      </c>
      <c r="C56" s="18" t="s">
        <v>26</v>
      </c>
      <c r="D56" s="31">
        <v>445000</v>
      </c>
      <c r="E56" s="19"/>
      <c r="F56" s="31">
        <v>1573281</v>
      </c>
      <c r="G56" s="19"/>
      <c r="H56" s="20">
        <v>857</v>
      </c>
      <c r="I56" s="19"/>
      <c r="J56" s="19">
        <v>667.19</v>
      </c>
      <c r="K56" s="19">
        <v>548.6</v>
      </c>
    </row>
    <row r="57" spans="1:11" ht="62.25" customHeight="1">
      <c r="A57" s="36">
        <v>3</v>
      </c>
      <c r="B57" s="17" t="s">
        <v>128</v>
      </c>
      <c r="C57" s="18" t="s">
        <v>26</v>
      </c>
      <c r="D57" s="31">
        <v>3371000</v>
      </c>
      <c r="E57" s="19"/>
      <c r="F57" s="31">
        <v>2535526</v>
      </c>
      <c r="G57" s="19"/>
      <c r="H57" s="20">
        <v>1167</v>
      </c>
      <c r="I57" s="19"/>
      <c r="J57" s="19">
        <v>577.19000000000005</v>
      </c>
      <c r="K57" s="19">
        <v>547.29999999999995</v>
      </c>
    </row>
    <row r="58" spans="1:11" ht="86.25" customHeight="1">
      <c r="A58" s="36">
        <v>4</v>
      </c>
      <c r="B58" s="17" t="s">
        <v>73</v>
      </c>
      <c r="C58" s="18" t="s">
        <v>26</v>
      </c>
      <c r="D58" s="31">
        <v>372672</v>
      </c>
      <c r="E58" s="19"/>
      <c r="F58" s="31">
        <v>350000</v>
      </c>
      <c r="G58" s="19"/>
      <c r="H58" s="20">
        <v>97</v>
      </c>
      <c r="I58" s="19"/>
      <c r="J58" s="19">
        <v>97.19</v>
      </c>
      <c r="K58" s="19">
        <v>50.33</v>
      </c>
    </row>
    <row r="59" spans="1:11" ht="66.75" customHeight="1">
      <c r="A59" s="36">
        <v>5</v>
      </c>
      <c r="B59" s="17" t="s">
        <v>74</v>
      </c>
      <c r="C59" s="18" t="s">
        <v>26</v>
      </c>
      <c r="D59" s="31">
        <v>14950000</v>
      </c>
      <c r="E59" s="19"/>
      <c r="F59" s="31">
        <v>9012000</v>
      </c>
      <c r="G59" s="19"/>
      <c r="H59" s="20">
        <v>3120</v>
      </c>
      <c r="I59" s="19"/>
      <c r="J59" s="19">
        <v>2577.19</v>
      </c>
      <c r="K59" s="19">
        <v>478.3</v>
      </c>
    </row>
    <row r="60" spans="1:11">
      <c r="A60" s="71" t="s">
        <v>27</v>
      </c>
      <c r="B60" s="72"/>
      <c r="C60" s="21" t="s">
        <v>21</v>
      </c>
      <c r="D60" s="34">
        <f>SUM(D55:D59)</f>
        <v>20623672</v>
      </c>
      <c r="E60" s="22"/>
      <c r="F60" s="34">
        <f>SUM(F55:F59)</f>
        <v>14685335</v>
      </c>
      <c r="G60" s="22"/>
      <c r="H60" s="34">
        <f>SUM(H55:H59)</f>
        <v>5782</v>
      </c>
      <c r="I60" s="22"/>
      <c r="J60" s="34">
        <f>SUM(J55:J59)</f>
        <v>4495.9500000000007</v>
      </c>
      <c r="K60" s="34">
        <f>SUM(K55:K59)</f>
        <v>2102.86</v>
      </c>
    </row>
    <row r="61" spans="1:11">
      <c r="A61" s="21">
        <v>4</v>
      </c>
      <c r="B61" s="15" t="s">
        <v>75</v>
      </c>
      <c r="C61" s="13"/>
      <c r="D61" s="33"/>
      <c r="E61" s="13"/>
      <c r="F61" s="33"/>
      <c r="G61" s="13"/>
      <c r="H61" s="13"/>
      <c r="I61" s="13"/>
      <c r="J61" s="13"/>
      <c r="K61" s="16"/>
    </row>
    <row r="62" spans="1:11" ht="87" customHeight="1">
      <c r="A62" s="36">
        <v>1</v>
      </c>
      <c r="B62" s="17" t="s">
        <v>76</v>
      </c>
      <c r="C62" s="18" t="s">
        <v>77</v>
      </c>
      <c r="D62" s="31">
        <v>769690</v>
      </c>
      <c r="E62" s="19"/>
      <c r="F62" s="31">
        <v>554521</v>
      </c>
      <c r="G62" s="19"/>
      <c r="H62" s="20">
        <v>266.94</v>
      </c>
      <c r="I62" s="19"/>
      <c r="J62" s="19">
        <v>266</v>
      </c>
      <c r="K62" s="19">
        <v>55</v>
      </c>
    </row>
    <row r="63" spans="1:11" ht="137.25" customHeight="1">
      <c r="A63" s="36">
        <v>2</v>
      </c>
      <c r="B63" s="17" t="s">
        <v>78</v>
      </c>
      <c r="C63" s="18" t="s">
        <v>26</v>
      </c>
      <c r="D63" s="31">
        <v>13373</v>
      </c>
      <c r="E63" s="19"/>
      <c r="F63" s="31">
        <v>10413</v>
      </c>
      <c r="G63" s="19"/>
      <c r="H63" s="68">
        <v>3.7</v>
      </c>
      <c r="I63" s="19"/>
      <c r="J63" s="19">
        <v>3.7</v>
      </c>
      <c r="K63" s="19">
        <v>2.11</v>
      </c>
    </row>
    <row r="64" spans="1:11">
      <c r="A64" s="71" t="s">
        <v>27</v>
      </c>
      <c r="B64" s="72"/>
      <c r="C64" s="21" t="s">
        <v>21</v>
      </c>
      <c r="D64" s="34">
        <f>SUM(D62:D63)</f>
        <v>783063</v>
      </c>
      <c r="E64" s="22"/>
      <c r="F64" s="34">
        <f>SUM(F62:F63)</f>
        <v>564934</v>
      </c>
      <c r="G64" s="22"/>
      <c r="H64" s="23">
        <f>SUM(H62:H63)</f>
        <v>270.64</v>
      </c>
      <c r="I64" s="22"/>
      <c r="J64" s="22">
        <f>SUM(J62:J63)</f>
        <v>269.7</v>
      </c>
      <c r="K64" s="22">
        <f>SUM(K62:K63)</f>
        <v>57.11</v>
      </c>
    </row>
    <row r="65" spans="1:14">
      <c r="A65" s="69" t="s">
        <v>130</v>
      </c>
      <c r="B65" s="70"/>
      <c r="C65" s="30"/>
      <c r="D65" s="35">
        <f>D64+D60+D53</f>
        <v>22016735</v>
      </c>
      <c r="E65" s="24"/>
      <c r="F65" s="35">
        <f>F64+F60+F53</f>
        <v>15469269</v>
      </c>
      <c r="G65" s="24"/>
      <c r="H65" s="35">
        <f>H64+H60+H53</f>
        <v>7492.64</v>
      </c>
      <c r="I65" s="24"/>
      <c r="J65" s="35">
        <f>J64+J60+J53</f>
        <v>5480.26</v>
      </c>
      <c r="K65" s="35">
        <f>K64+K60+K53</f>
        <v>2384.7500000000005</v>
      </c>
    </row>
    <row r="66" spans="1:14" s="48" customFormat="1" ht="12">
      <c r="A66" s="37" t="s">
        <v>21</v>
      </c>
      <c r="B66" s="65" t="s">
        <v>81</v>
      </c>
      <c r="C66" s="63"/>
      <c r="D66" s="57"/>
      <c r="E66" s="57"/>
      <c r="F66" s="58"/>
      <c r="G66" s="58"/>
      <c r="H66" s="57"/>
      <c r="I66" s="57"/>
      <c r="J66" s="57"/>
      <c r="K66" s="59"/>
      <c r="N66" s="49"/>
    </row>
    <row r="67" spans="1:14" s="48" customFormat="1" ht="12">
      <c r="A67" s="21" t="s">
        <v>23</v>
      </c>
      <c r="B67" s="66" t="s">
        <v>82</v>
      </c>
      <c r="C67" s="63"/>
      <c r="D67" s="58"/>
      <c r="E67" s="58"/>
      <c r="F67" s="58"/>
      <c r="G67" s="58"/>
      <c r="H67" s="58"/>
      <c r="I67" s="58"/>
      <c r="J67" s="58"/>
      <c r="K67" s="60"/>
      <c r="N67" s="49"/>
    </row>
    <row r="68" spans="1:14" s="48" customFormat="1" ht="28.5" customHeight="1">
      <c r="A68" s="36" t="s">
        <v>25</v>
      </c>
      <c r="B68" s="47" t="s">
        <v>83</v>
      </c>
      <c r="C68" s="18" t="s">
        <v>26</v>
      </c>
      <c r="D68" s="31">
        <v>254360</v>
      </c>
      <c r="E68" s="19"/>
      <c r="F68" s="31">
        <v>155220</v>
      </c>
      <c r="G68" s="19"/>
      <c r="H68" s="20">
        <v>450.23</v>
      </c>
      <c r="I68" s="19"/>
      <c r="J68" s="19">
        <v>200</v>
      </c>
      <c r="K68" s="19">
        <v>200</v>
      </c>
      <c r="N68" s="49"/>
    </row>
    <row r="69" spans="1:14" s="48" customFormat="1" ht="12">
      <c r="A69" s="69" t="s">
        <v>65</v>
      </c>
      <c r="B69" s="70"/>
      <c r="C69" s="11"/>
      <c r="D69" s="27">
        <f>D68</f>
        <v>254360</v>
      </c>
      <c r="E69" s="24"/>
      <c r="F69" s="27">
        <f>F68</f>
        <v>155220</v>
      </c>
      <c r="G69" s="24"/>
      <c r="H69" s="25">
        <f>H68</f>
        <v>450.23</v>
      </c>
      <c r="I69" s="24"/>
      <c r="J69" s="24">
        <f>J68</f>
        <v>200</v>
      </c>
      <c r="K69" s="24">
        <f>K68</f>
        <v>200</v>
      </c>
      <c r="N69" s="49"/>
    </row>
    <row r="70" spans="1:14" s="48" customFormat="1" ht="12">
      <c r="A70" s="37" t="s">
        <v>22</v>
      </c>
      <c r="B70" s="65" t="s">
        <v>95</v>
      </c>
      <c r="C70" s="63"/>
      <c r="D70" s="61"/>
      <c r="E70" s="57"/>
      <c r="F70" s="62"/>
      <c r="G70" s="58"/>
      <c r="H70" s="57"/>
      <c r="I70" s="57"/>
      <c r="J70" s="57"/>
      <c r="K70" s="59"/>
      <c r="N70" s="49"/>
    </row>
    <row r="71" spans="1:14" s="48" customFormat="1" ht="12">
      <c r="A71" s="21" t="s">
        <v>28</v>
      </c>
      <c r="B71" s="66" t="s">
        <v>155</v>
      </c>
      <c r="C71" s="63"/>
      <c r="D71" s="62"/>
      <c r="E71" s="58"/>
      <c r="F71" s="62"/>
      <c r="G71" s="58"/>
      <c r="H71" s="58"/>
      <c r="I71" s="58"/>
      <c r="J71" s="58"/>
      <c r="K71" s="60"/>
      <c r="N71" s="49"/>
    </row>
    <row r="72" spans="1:14" s="48" customFormat="1" ht="26.25" customHeight="1">
      <c r="A72" s="36">
        <v>1</v>
      </c>
      <c r="B72" s="51" t="s">
        <v>84</v>
      </c>
      <c r="C72" s="18" t="s">
        <v>131</v>
      </c>
      <c r="D72" s="31">
        <f>830*2.02</f>
        <v>1676.6</v>
      </c>
      <c r="E72" s="19"/>
      <c r="F72" s="31">
        <v>0</v>
      </c>
      <c r="G72" s="19"/>
      <c r="H72" s="68">
        <v>4.9000000000000004</v>
      </c>
      <c r="I72" s="68"/>
      <c r="J72" s="68">
        <f>830*0.0048</f>
        <v>3.9839999999999995</v>
      </c>
      <c r="K72" s="68">
        <v>0</v>
      </c>
      <c r="N72" s="50"/>
    </row>
    <row r="73" spans="1:14" s="48" customFormat="1" ht="26.25" customHeight="1">
      <c r="A73" s="36">
        <v>2</v>
      </c>
      <c r="B73" s="51" t="s">
        <v>87</v>
      </c>
      <c r="C73" s="18" t="s">
        <v>132</v>
      </c>
      <c r="D73" s="31">
        <f>720*2.02</f>
        <v>1454.4</v>
      </c>
      <c r="E73" s="19"/>
      <c r="F73" s="31">
        <v>0</v>
      </c>
      <c r="G73" s="19"/>
      <c r="H73" s="68">
        <v>11.6</v>
      </c>
      <c r="I73" s="68"/>
      <c r="J73" s="68">
        <f>720*0.0048</f>
        <v>3.4559999999999995</v>
      </c>
      <c r="K73" s="68">
        <v>0</v>
      </c>
      <c r="N73" s="50"/>
    </row>
    <row r="74" spans="1:14" s="48" customFormat="1" ht="26.25" customHeight="1">
      <c r="A74" s="36">
        <v>3</v>
      </c>
      <c r="B74" s="51" t="s">
        <v>86</v>
      </c>
      <c r="C74" s="18" t="s">
        <v>133</v>
      </c>
      <c r="D74" s="31">
        <f>125*2.02</f>
        <v>252.5</v>
      </c>
      <c r="E74" s="19"/>
      <c r="F74" s="31">
        <v>0</v>
      </c>
      <c r="G74" s="19"/>
      <c r="H74" s="68">
        <f>125*0.03</f>
        <v>3.75</v>
      </c>
      <c r="I74" s="68"/>
      <c r="J74" s="68">
        <f>125*0.0048</f>
        <v>0.6</v>
      </c>
      <c r="K74" s="68">
        <v>0</v>
      </c>
      <c r="N74" s="50"/>
    </row>
    <row r="75" spans="1:14" s="48" customFormat="1" ht="26.25" customHeight="1">
      <c r="A75" s="36">
        <v>4</v>
      </c>
      <c r="B75" s="51" t="s">
        <v>85</v>
      </c>
      <c r="C75" s="18" t="s">
        <v>134</v>
      </c>
      <c r="D75" s="31">
        <f>412*2.02</f>
        <v>832.24</v>
      </c>
      <c r="E75" s="19"/>
      <c r="F75" s="31">
        <v>0</v>
      </c>
      <c r="G75" s="19"/>
      <c r="H75" s="68">
        <f>412*0.03</f>
        <v>12.36</v>
      </c>
      <c r="I75" s="68"/>
      <c r="J75" s="68">
        <f>412*0.0048</f>
        <v>1.9775999999999998</v>
      </c>
      <c r="K75" s="68">
        <v>0</v>
      </c>
      <c r="N75" s="50"/>
    </row>
    <row r="76" spans="1:14" s="48" customFormat="1" ht="26.25" customHeight="1">
      <c r="A76" s="36">
        <v>5</v>
      </c>
      <c r="B76" s="51" t="s">
        <v>88</v>
      </c>
      <c r="C76" s="18" t="s">
        <v>135</v>
      </c>
      <c r="D76" s="31">
        <f>120*2.02</f>
        <v>242.4</v>
      </c>
      <c r="E76" s="19"/>
      <c r="F76" s="31">
        <v>0</v>
      </c>
      <c r="G76" s="19"/>
      <c r="H76" s="68">
        <f>120*0.03</f>
        <v>3.5999999999999996</v>
      </c>
      <c r="I76" s="68"/>
      <c r="J76" s="68">
        <f>120*0.0048</f>
        <v>0.57599999999999996</v>
      </c>
      <c r="K76" s="68">
        <v>0</v>
      </c>
      <c r="N76" s="50"/>
    </row>
    <row r="77" spans="1:14" s="48" customFormat="1" ht="26.25" customHeight="1">
      <c r="A77" s="36">
        <v>6</v>
      </c>
      <c r="B77" s="51" t="s">
        <v>89</v>
      </c>
      <c r="C77" s="18" t="s">
        <v>136</v>
      </c>
      <c r="D77" s="31">
        <f>1400*2.02</f>
        <v>2828</v>
      </c>
      <c r="E77" s="19"/>
      <c r="F77" s="31">
        <v>0</v>
      </c>
      <c r="G77" s="19"/>
      <c r="H77" s="68">
        <v>12</v>
      </c>
      <c r="I77" s="68"/>
      <c r="J77" s="68">
        <f>1400*0.0048</f>
        <v>6.72</v>
      </c>
      <c r="K77" s="68">
        <v>0</v>
      </c>
      <c r="N77" s="50"/>
    </row>
    <row r="78" spans="1:14" s="48" customFormat="1" ht="26.25" customHeight="1">
      <c r="A78" s="36">
        <v>7</v>
      </c>
      <c r="B78" s="51" t="s">
        <v>90</v>
      </c>
      <c r="C78" s="18" t="s">
        <v>137</v>
      </c>
      <c r="D78" s="31">
        <f>1536*2.02</f>
        <v>3102.7200000000003</v>
      </c>
      <c r="E78" s="19"/>
      <c r="F78" s="31">
        <v>0</v>
      </c>
      <c r="G78" s="19"/>
      <c r="H78" s="68">
        <v>16.3</v>
      </c>
      <c r="I78" s="68"/>
      <c r="J78" s="68">
        <f>1536*0.0048</f>
        <v>7.3727999999999998</v>
      </c>
      <c r="K78" s="68">
        <v>0</v>
      </c>
      <c r="N78" s="50"/>
    </row>
    <row r="79" spans="1:14" s="48" customFormat="1" ht="57" customHeight="1">
      <c r="A79" s="36">
        <v>8</v>
      </c>
      <c r="B79" s="67" t="s">
        <v>91</v>
      </c>
      <c r="C79" s="18" t="s">
        <v>138</v>
      </c>
      <c r="D79" s="31">
        <f>1580*2.02</f>
        <v>3191.6</v>
      </c>
      <c r="E79" s="19"/>
      <c r="F79" s="31">
        <v>0</v>
      </c>
      <c r="G79" s="19"/>
      <c r="H79" s="68">
        <v>7.4</v>
      </c>
      <c r="I79" s="68"/>
      <c r="J79" s="68">
        <f>1580*0.0048</f>
        <v>7.5839999999999996</v>
      </c>
      <c r="K79" s="68">
        <v>0</v>
      </c>
      <c r="N79" s="50"/>
    </row>
    <row r="80" spans="1:14" s="48" customFormat="1" ht="26.25" customHeight="1">
      <c r="A80" s="36">
        <v>9</v>
      </c>
      <c r="B80" s="51" t="s">
        <v>92</v>
      </c>
      <c r="C80" s="18" t="s">
        <v>139</v>
      </c>
      <c r="D80" s="31">
        <f>100*2.02</f>
        <v>202</v>
      </c>
      <c r="E80" s="19"/>
      <c r="F80" s="31">
        <v>0</v>
      </c>
      <c r="G80" s="19"/>
      <c r="H80" s="68">
        <f>100*0.03</f>
        <v>3</v>
      </c>
      <c r="I80" s="68"/>
      <c r="J80" s="68">
        <f>100*0.0048</f>
        <v>0.48</v>
      </c>
      <c r="K80" s="68">
        <v>0</v>
      </c>
      <c r="N80" s="50"/>
    </row>
    <row r="81" spans="1:14" s="48" customFormat="1" ht="32.25" customHeight="1">
      <c r="A81" s="36">
        <v>10</v>
      </c>
      <c r="B81" s="51" t="s">
        <v>93</v>
      </c>
      <c r="C81" s="18" t="s">
        <v>140</v>
      </c>
      <c r="D81" s="31">
        <f>380*2.02</f>
        <v>767.6</v>
      </c>
      <c r="E81" s="19"/>
      <c r="F81" s="31">
        <v>0</v>
      </c>
      <c r="G81" s="19"/>
      <c r="H81" s="68">
        <f>380*0.03</f>
        <v>11.4</v>
      </c>
      <c r="I81" s="68"/>
      <c r="J81" s="68">
        <f>380*0.0048</f>
        <v>1.8239999999999998</v>
      </c>
      <c r="K81" s="68">
        <v>0</v>
      </c>
      <c r="N81" s="52"/>
    </row>
    <row r="82" spans="1:14" s="48" customFormat="1" ht="44.25" customHeight="1">
      <c r="A82" s="36">
        <v>11</v>
      </c>
      <c r="B82" s="67" t="s">
        <v>94</v>
      </c>
      <c r="C82" s="18" t="s">
        <v>141</v>
      </c>
      <c r="D82" s="31">
        <f>686*2.02</f>
        <v>1385.72</v>
      </c>
      <c r="E82" s="19"/>
      <c r="F82" s="31">
        <v>0</v>
      </c>
      <c r="G82" s="19"/>
      <c r="H82" s="68">
        <f>686*0.03</f>
        <v>20.58</v>
      </c>
      <c r="I82" s="68"/>
      <c r="J82" s="68">
        <f>686*0.0048</f>
        <v>3.2927999999999997</v>
      </c>
      <c r="K82" s="68">
        <v>0</v>
      </c>
      <c r="N82" s="53"/>
    </row>
    <row r="83" spans="1:14" s="48" customFormat="1" ht="12">
      <c r="A83" s="71" t="s">
        <v>27</v>
      </c>
      <c r="B83" s="72"/>
      <c r="C83" s="21" t="s">
        <v>21</v>
      </c>
      <c r="D83" s="34">
        <f>SUM(D72:D82)</f>
        <v>15935.78</v>
      </c>
      <c r="E83" s="22"/>
      <c r="F83" s="34">
        <f>SUM(F72:F82)</f>
        <v>0</v>
      </c>
      <c r="G83" s="22"/>
      <c r="H83" s="34">
        <f>SUM(H72:H82)</f>
        <v>106.89000000000001</v>
      </c>
      <c r="I83" s="22"/>
      <c r="J83" s="34">
        <f>SUM(J72:J82)</f>
        <v>37.86719999999999</v>
      </c>
      <c r="K83" s="34">
        <f>G82</f>
        <v>0</v>
      </c>
      <c r="N83" s="49"/>
    </row>
    <row r="84" spans="1:14" s="48" customFormat="1" ht="12">
      <c r="A84" s="21" t="s">
        <v>109</v>
      </c>
      <c r="B84" s="66" t="s">
        <v>156</v>
      </c>
      <c r="C84" s="63"/>
      <c r="D84" s="62"/>
      <c r="E84" s="58"/>
      <c r="F84" s="62"/>
      <c r="G84" s="58"/>
      <c r="H84" s="58"/>
      <c r="I84" s="58"/>
      <c r="J84" s="58"/>
      <c r="K84" s="60"/>
      <c r="N84" s="49"/>
    </row>
    <row r="85" spans="1:14" s="48" customFormat="1" ht="43.5" customHeight="1">
      <c r="A85" s="36">
        <v>1</v>
      </c>
      <c r="B85" s="47" t="s">
        <v>157</v>
      </c>
      <c r="C85" s="18" t="s">
        <v>142</v>
      </c>
      <c r="D85" s="31">
        <v>25800</v>
      </c>
      <c r="E85" s="19"/>
      <c r="F85" s="31">
        <v>0</v>
      </c>
      <c r="G85" s="19"/>
      <c r="H85" s="68">
        <f>4327*0.03</f>
        <v>129.81</v>
      </c>
      <c r="I85" s="68"/>
      <c r="J85" s="68">
        <f>4327*0.0048</f>
        <v>20.769599999999997</v>
      </c>
      <c r="K85" s="68">
        <v>0</v>
      </c>
      <c r="N85" s="49"/>
    </row>
    <row r="86" spans="1:14" s="48" customFormat="1" ht="39.75" customHeight="1">
      <c r="A86" s="36">
        <v>2</v>
      </c>
      <c r="B86" s="51" t="s">
        <v>158</v>
      </c>
      <c r="C86" s="18" t="s">
        <v>143</v>
      </c>
      <c r="D86" s="31">
        <v>8700</v>
      </c>
      <c r="E86" s="19"/>
      <c r="F86" s="31">
        <v>0</v>
      </c>
      <c r="G86" s="19"/>
      <c r="H86" s="68">
        <f>870*0.03</f>
        <v>26.099999999999998</v>
      </c>
      <c r="I86" s="68"/>
      <c r="J86" s="68">
        <f>870*0.0048</f>
        <v>4.1759999999999993</v>
      </c>
      <c r="K86" s="68">
        <v>0</v>
      </c>
      <c r="N86" s="50"/>
    </row>
    <row r="87" spans="1:14" s="48" customFormat="1" ht="27.75" customHeight="1">
      <c r="A87" s="36">
        <v>3</v>
      </c>
      <c r="B87" s="51" t="s">
        <v>103</v>
      </c>
      <c r="C87" s="18" t="s">
        <v>143</v>
      </c>
      <c r="D87" s="31">
        <v>8700</v>
      </c>
      <c r="E87" s="19"/>
      <c r="F87" s="31">
        <v>0</v>
      </c>
      <c r="G87" s="19"/>
      <c r="H87" s="68">
        <f>870*0.03</f>
        <v>26.099999999999998</v>
      </c>
      <c r="I87" s="68"/>
      <c r="J87" s="68">
        <v>4.18</v>
      </c>
      <c r="K87" s="68">
        <v>0</v>
      </c>
      <c r="N87" s="50"/>
    </row>
    <row r="88" spans="1:14" s="48" customFormat="1" ht="27.75" customHeight="1">
      <c r="A88" s="36">
        <v>4</v>
      </c>
      <c r="B88" s="51" t="s">
        <v>104</v>
      </c>
      <c r="C88" s="18" t="s">
        <v>144</v>
      </c>
      <c r="D88" s="31">
        <v>24552</v>
      </c>
      <c r="E88" s="19"/>
      <c r="F88" s="31">
        <v>0</v>
      </c>
      <c r="G88" s="19"/>
      <c r="H88" s="68">
        <f>1006*0.03</f>
        <v>30.18</v>
      </c>
      <c r="I88" s="68"/>
      <c r="J88" s="68">
        <f>1006*0.0048</f>
        <v>4.8287999999999993</v>
      </c>
      <c r="K88" s="68">
        <v>0</v>
      </c>
      <c r="N88" s="50"/>
    </row>
    <row r="89" spans="1:14" s="48" customFormat="1" ht="27.75" customHeight="1">
      <c r="A89" s="36">
        <v>5</v>
      </c>
      <c r="B89" s="51" t="s">
        <v>105</v>
      </c>
      <c r="C89" s="18" t="s">
        <v>145</v>
      </c>
      <c r="D89" s="31">
        <v>570</v>
      </c>
      <c r="E89" s="19"/>
      <c r="F89" s="31">
        <v>0</v>
      </c>
      <c r="G89" s="19"/>
      <c r="H89" s="68">
        <f>38*0.03</f>
        <v>1.1399999999999999</v>
      </c>
      <c r="I89" s="68"/>
      <c r="J89" s="68">
        <f>38*0.0048</f>
        <v>0.18239999999999998</v>
      </c>
      <c r="K89" s="68">
        <v>0</v>
      </c>
      <c r="N89" s="50"/>
    </row>
    <row r="90" spans="1:14" s="48" customFormat="1" ht="12">
      <c r="A90" s="71" t="s">
        <v>27</v>
      </c>
      <c r="B90" s="72"/>
      <c r="C90" s="21" t="s">
        <v>21</v>
      </c>
      <c r="D90" s="34">
        <f>SUM(D85:D89)</f>
        <v>68322</v>
      </c>
      <c r="E90" s="22"/>
      <c r="F90" s="34">
        <f>SUM(F85:F89)</f>
        <v>0</v>
      </c>
      <c r="G90" s="22"/>
      <c r="H90" s="34">
        <f>SUM(H85:H89)</f>
        <v>213.32999999999998</v>
      </c>
      <c r="I90" s="22"/>
      <c r="J90" s="34">
        <f>SUM(J85:J89)</f>
        <v>34.136799999999994</v>
      </c>
      <c r="K90" s="34">
        <f>SUM(K85:K89)</f>
        <v>0</v>
      </c>
      <c r="N90" s="49"/>
    </row>
    <row r="91" spans="1:14" s="48" customFormat="1" ht="12">
      <c r="A91" s="46" t="s">
        <v>160</v>
      </c>
      <c r="B91" s="66" t="s">
        <v>159</v>
      </c>
      <c r="C91" s="63"/>
      <c r="D91" s="62"/>
      <c r="E91" s="58"/>
      <c r="F91" s="62"/>
      <c r="G91" s="58"/>
      <c r="H91" s="58"/>
      <c r="I91" s="58"/>
      <c r="J91" s="58"/>
      <c r="K91" s="60"/>
      <c r="N91" s="49"/>
    </row>
    <row r="92" spans="1:14" s="48" customFormat="1" ht="26.25" customHeight="1">
      <c r="A92" s="36">
        <v>1</v>
      </c>
      <c r="B92" s="51" t="s">
        <v>96</v>
      </c>
      <c r="C92" s="18" t="s">
        <v>147</v>
      </c>
      <c r="D92" s="31">
        <f>871*2.11</f>
        <v>1837.81</v>
      </c>
      <c r="E92" s="19"/>
      <c r="F92" s="68">
        <v>0</v>
      </c>
      <c r="G92" s="68"/>
      <c r="H92" s="68">
        <v>6.13</v>
      </c>
      <c r="I92" s="68"/>
      <c r="J92" s="68">
        <f>871*0.0048</f>
        <v>4.1807999999999996</v>
      </c>
      <c r="K92" s="68">
        <v>0</v>
      </c>
      <c r="N92" s="50"/>
    </row>
    <row r="93" spans="1:14" s="48" customFormat="1" ht="26.25" customHeight="1">
      <c r="A93" s="36">
        <v>2</v>
      </c>
      <c r="B93" s="51" t="s">
        <v>97</v>
      </c>
      <c r="C93" s="18" t="s">
        <v>148</v>
      </c>
      <c r="D93" s="31">
        <f>1656*2.11</f>
        <v>3494.16</v>
      </c>
      <c r="E93" s="19"/>
      <c r="F93" s="68">
        <v>0</v>
      </c>
      <c r="G93" s="68"/>
      <c r="H93" s="68">
        <v>9.68</v>
      </c>
      <c r="I93" s="68"/>
      <c r="J93" s="68">
        <f>1656*0.0048</f>
        <v>7.9487999999999994</v>
      </c>
      <c r="K93" s="68">
        <v>0</v>
      </c>
      <c r="N93" s="50"/>
    </row>
    <row r="94" spans="1:14" s="48" customFormat="1" ht="26.25" customHeight="1">
      <c r="A94" s="36">
        <v>3</v>
      </c>
      <c r="B94" s="51" t="s">
        <v>98</v>
      </c>
      <c r="C94" s="18" t="s">
        <v>149</v>
      </c>
      <c r="D94" s="31">
        <f>220*2.11</f>
        <v>464.2</v>
      </c>
      <c r="E94" s="19"/>
      <c r="F94" s="68">
        <v>0</v>
      </c>
      <c r="G94" s="68"/>
      <c r="H94" s="68">
        <f>220*0.03</f>
        <v>6.6</v>
      </c>
      <c r="I94" s="68"/>
      <c r="J94" s="68">
        <f>220*0.0048</f>
        <v>1.0559999999999998</v>
      </c>
      <c r="K94" s="68">
        <v>0</v>
      </c>
      <c r="N94" s="50"/>
    </row>
    <row r="95" spans="1:14" s="48" customFormat="1" ht="26.25" customHeight="1">
      <c r="A95" s="36">
        <v>4</v>
      </c>
      <c r="B95" s="51" t="s">
        <v>99</v>
      </c>
      <c r="C95" s="18" t="s">
        <v>150</v>
      </c>
      <c r="D95" s="31">
        <f>230*2.11</f>
        <v>485.29999999999995</v>
      </c>
      <c r="E95" s="19"/>
      <c r="F95" s="68">
        <v>0</v>
      </c>
      <c r="G95" s="68"/>
      <c r="H95" s="68">
        <f>230*0.03</f>
        <v>6.8999999999999995</v>
      </c>
      <c r="I95" s="68"/>
      <c r="J95" s="68">
        <f>230*0.0048</f>
        <v>1.1039999999999999</v>
      </c>
      <c r="K95" s="68">
        <v>0</v>
      </c>
      <c r="N95" s="50"/>
    </row>
    <row r="96" spans="1:14" s="48" customFormat="1" ht="26.25" customHeight="1">
      <c r="A96" s="36">
        <v>5</v>
      </c>
      <c r="B96" s="51" t="s">
        <v>100</v>
      </c>
      <c r="C96" s="18" t="s">
        <v>151</v>
      </c>
      <c r="D96" s="31">
        <f>440*2.11</f>
        <v>928.4</v>
      </c>
      <c r="E96" s="19"/>
      <c r="F96" s="68">
        <v>0</v>
      </c>
      <c r="G96" s="68"/>
      <c r="H96" s="68">
        <v>3.2</v>
      </c>
      <c r="I96" s="68"/>
      <c r="J96" s="68">
        <f>440*0.0048</f>
        <v>2.1119999999999997</v>
      </c>
      <c r="K96" s="68">
        <v>0</v>
      </c>
      <c r="N96" s="50"/>
    </row>
    <row r="97" spans="1:14" s="48" customFormat="1" ht="26.25" customHeight="1">
      <c r="A97" s="36">
        <v>6</v>
      </c>
      <c r="B97" s="51" t="s">
        <v>101</v>
      </c>
      <c r="C97" s="18" t="s">
        <v>152</v>
      </c>
      <c r="D97" s="31">
        <f>800*2.11</f>
        <v>1688</v>
      </c>
      <c r="E97" s="19"/>
      <c r="F97" s="68">
        <v>0</v>
      </c>
      <c r="G97" s="68"/>
      <c r="H97" s="68">
        <v>4.1100000000000003</v>
      </c>
      <c r="I97" s="68"/>
      <c r="J97" s="68">
        <f>800*0.0048</f>
        <v>3.84</v>
      </c>
      <c r="K97" s="68">
        <v>0</v>
      </c>
      <c r="N97" s="50"/>
    </row>
    <row r="98" spans="1:14" s="48" customFormat="1" ht="37.5" customHeight="1">
      <c r="A98" s="36">
        <v>7</v>
      </c>
      <c r="B98" s="67" t="s">
        <v>102</v>
      </c>
      <c r="C98" s="18" t="s">
        <v>152</v>
      </c>
      <c r="D98" s="31">
        <f>1688*2.1</f>
        <v>3544.8</v>
      </c>
      <c r="E98" s="19"/>
      <c r="F98" s="68">
        <v>0</v>
      </c>
      <c r="G98" s="68"/>
      <c r="H98" s="68">
        <v>4.1100000000000003</v>
      </c>
      <c r="I98" s="68"/>
      <c r="J98" s="68">
        <v>3.84</v>
      </c>
      <c r="K98" s="68">
        <v>0</v>
      </c>
      <c r="N98" s="50"/>
    </row>
    <row r="99" spans="1:14" s="48" customFormat="1" ht="12">
      <c r="A99" s="71" t="s">
        <v>27</v>
      </c>
      <c r="B99" s="72"/>
      <c r="C99" s="21" t="s">
        <v>21</v>
      </c>
      <c r="D99" s="34">
        <f>SUM(D92:D98)</f>
        <v>12442.669999999998</v>
      </c>
      <c r="E99" s="22"/>
      <c r="F99" s="34">
        <f>SUM(F92:F98)</f>
        <v>0</v>
      </c>
      <c r="G99" s="22"/>
      <c r="H99" s="34">
        <f>SUM(H92:H98)</f>
        <v>40.729999999999997</v>
      </c>
      <c r="I99" s="22"/>
      <c r="J99" s="34">
        <f>SUM(J92:J98)</f>
        <v>24.081599999999998</v>
      </c>
      <c r="K99" s="34">
        <f>SUM(K92:K98)</f>
        <v>0</v>
      </c>
      <c r="N99" s="49"/>
    </row>
    <row r="100" spans="1:14" s="48" customFormat="1" ht="12">
      <c r="A100" s="46" t="s">
        <v>162</v>
      </c>
      <c r="B100" s="66" t="s">
        <v>161</v>
      </c>
      <c r="C100" s="63"/>
      <c r="D100" s="62"/>
      <c r="E100" s="58"/>
      <c r="F100" s="62"/>
      <c r="G100" s="58"/>
      <c r="H100" s="58"/>
      <c r="I100" s="58"/>
      <c r="J100" s="58"/>
      <c r="K100" s="60"/>
      <c r="N100" s="49"/>
    </row>
    <row r="101" spans="1:14" s="48" customFormat="1" ht="21" customHeight="1">
      <c r="A101" s="36">
        <v>1</v>
      </c>
      <c r="B101" s="47" t="s">
        <v>106</v>
      </c>
      <c r="C101" s="18" t="s">
        <v>153</v>
      </c>
      <c r="D101" s="31">
        <v>13000</v>
      </c>
      <c r="E101" s="19"/>
      <c r="F101" s="68">
        <v>0</v>
      </c>
      <c r="G101" s="68"/>
      <c r="H101" s="68">
        <v>16</v>
      </c>
      <c r="I101" s="68"/>
      <c r="J101" s="68">
        <v>4.96</v>
      </c>
      <c r="K101" s="68">
        <v>0</v>
      </c>
      <c r="N101" s="49"/>
    </row>
    <row r="102" spans="1:14" s="48" customFormat="1" ht="27" customHeight="1">
      <c r="A102" s="36">
        <v>2</v>
      </c>
      <c r="B102" s="47" t="s">
        <v>107</v>
      </c>
      <c r="C102" s="18" t="s">
        <v>146</v>
      </c>
      <c r="D102" s="31">
        <f>1900*15</f>
        <v>28500</v>
      </c>
      <c r="E102" s="19"/>
      <c r="F102" s="68">
        <v>0</v>
      </c>
      <c r="G102" s="68"/>
      <c r="H102" s="68">
        <v>157</v>
      </c>
      <c r="I102" s="68"/>
      <c r="J102" s="68">
        <f>1900*0.0048</f>
        <v>9.1199999999999992</v>
      </c>
      <c r="K102" s="68">
        <v>0</v>
      </c>
      <c r="N102" s="49"/>
    </row>
    <row r="103" spans="1:14" s="48" customFormat="1" ht="25.5" customHeight="1">
      <c r="A103" s="36">
        <v>3</v>
      </c>
      <c r="B103" s="47" t="s">
        <v>108</v>
      </c>
      <c r="C103" s="18" t="s">
        <v>154</v>
      </c>
      <c r="D103" s="31">
        <f>6184*5</f>
        <v>30920</v>
      </c>
      <c r="E103" s="19"/>
      <c r="F103" s="68">
        <v>0</v>
      </c>
      <c r="G103" s="68"/>
      <c r="H103" s="68">
        <f>6184*0.03</f>
        <v>185.51999999999998</v>
      </c>
      <c r="I103" s="68"/>
      <c r="J103" s="68">
        <f>6184*0.0048</f>
        <v>29.683199999999996</v>
      </c>
      <c r="K103" s="68">
        <v>0</v>
      </c>
      <c r="N103" s="49"/>
    </row>
    <row r="104" spans="1:14" s="48" customFormat="1" ht="15.75" customHeight="1">
      <c r="A104" s="71" t="s">
        <v>27</v>
      </c>
      <c r="B104" s="72"/>
      <c r="C104" s="21" t="s">
        <v>21</v>
      </c>
      <c r="D104" s="34">
        <f>SUM(D101:D103)</f>
        <v>72420</v>
      </c>
      <c r="E104" s="22"/>
      <c r="F104" s="34">
        <f>SUM(F101:F103)</f>
        <v>0</v>
      </c>
      <c r="G104" s="22"/>
      <c r="H104" s="34">
        <f>SUM(H101:H103)</f>
        <v>358.52</v>
      </c>
      <c r="I104" s="22"/>
      <c r="J104" s="34">
        <f>SUM(J101:J103)</f>
        <v>43.763199999999998</v>
      </c>
      <c r="K104" s="34">
        <f>SUM(K101:K103)</f>
        <v>0</v>
      </c>
      <c r="N104" s="49"/>
    </row>
    <row r="105" spans="1:14" s="48" customFormat="1" ht="15.75" customHeight="1">
      <c r="A105" s="69" t="s">
        <v>66</v>
      </c>
      <c r="B105" s="70"/>
      <c r="C105" s="64"/>
      <c r="D105" s="27">
        <f>D104+D99+D90+D83</f>
        <v>169120.44999999998</v>
      </c>
      <c r="E105" s="24"/>
      <c r="F105" s="27">
        <f>F104+F99+F90+F83</f>
        <v>0</v>
      </c>
      <c r="G105" s="24"/>
      <c r="H105" s="27">
        <f>H104+H99+H90+H83</f>
        <v>719.46999999999991</v>
      </c>
      <c r="I105" s="24"/>
      <c r="J105" s="27">
        <f>J104+J99+J90+J83</f>
        <v>139.84879999999998</v>
      </c>
      <c r="K105" s="27">
        <f>K104+K99+K90+K83</f>
        <v>0</v>
      </c>
      <c r="N105" s="49"/>
    </row>
    <row r="106" spans="1:14" s="48" customFormat="1" ht="15.75" customHeight="1">
      <c r="A106" s="69" t="s">
        <v>35</v>
      </c>
      <c r="B106" s="70"/>
      <c r="C106" s="11"/>
      <c r="D106" s="27">
        <f>D105+D69</f>
        <v>423480.44999999995</v>
      </c>
      <c r="E106" s="24"/>
      <c r="F106" s="27">
        <f>F105+F69</f>
        <v>155220</v>
      </c>
      <c r="G106" s="24"/>
      <c r="H106" s="27">
        <f>H105+H69</f>
        <v>1169.6999999999998</v>
      </c>
      <c r="I106" s="24"/>
      <c r="J106" s="27">
        <f>J105+J69</f>
        <v>339.84879999999998</v>
      </c>
      <c r="K106" s="27">
        <f>K105+K69</f>
        <v>200</v>
      </c>
      <c r="N106" s="49"/>
    </row>
    <row r="107" spans="1:14" s="48" customFormat="1" ht="15.75" customHeight="1">
      <c r="A107" s="21">
        <v>3</v>
      </c>
      <c r="B107" s="66" t="s">
        <v>70</v>
      </c>
      <c r="C107" s="63"/>
      <c r="D107" s="62"/>
      <c r="E107" s="58"/>
      <c r="F107" s="62"/>
      <c r="G107" s="58"/>
      <c r="H107" s="58"/>
      <c r="I107" s="58"/>
      <c r="J107" s="58"/>
      <c r="K107" s="60"/>
      <c r="N107" s="49"/>
    </row>
    <row r="108" spans="1:14" s="48" customFormat="1" ht="45.75" customHeight="1">
      <c r="A108" s="36">
        <v>1</v>
      </c>
      <c r="B108" s="47" t="s">
        <v>72</v>
      </c>
      <c r="C108" s="18" t="s">
        <v>26</v>
      </c>
      <c r="D108" s="31">
        <v>445000</v>
      </c>
      <c r="E108" s="19"/>
      <c r="F108" s="31">
        <v>1573281</v>
      </c>
      <c r="G108" s="19"/>
      <c r="H108" s="68">
        <v>857.37</v>
      </c>
      <c r="I108" s="68"/>
      <c r="J108" s="68">
        <v>658.33</v>
      </c>
      <c r="K108" s="68">
        <v>68.73</v>
      </c>
      <c r="N108" s="49"/>
    </row>
    <row r="109" spans="1:14" s="48" customFormat="1" ht="58.5" customHeight="1">
      <c r="A109" s="36">
        <v>2</v>
      </c>
      <c r="B109" s="47" t="s">
        <v>129</v>
      </c>
      <c r="C109" s="18" t="s">
        <v>26</v>
      </c>
      <c r="D109" s="31">
        <v>3371000</v>
      </c>
      <c r="E109" s="19"/>
      <c r="F109" s="31">
        <v>2535526</v>
      </c>
      <c r="G109" s="19"/>
      <c r="H109" s="68">
        <v>1167.26</v>
      </c>
      <c r="I109" s="68"/>
      <c r="J109" s="68">
        <v>950.47</v>
      </c>
      <c r="K109" s="68">
        <v>44.78</v>
      </c>
      <c r="N109" s="49"/>
    </row>
    <row r="110" spans="1:14" s="48" customFormat="1" ht="45.75" customHeight="1">
      <c r="A110" s="36">
        <v>3</v>
      </c>
      <c r="B110" s="47" t="s">
        <v>110</v>
      </c>
      <c r="C110" s="18" t="s">
        <v>26</v>
      </c>
      <c r="D110" s="31">
        <v>2821000</v>
      </c>
      <c r="E110" s="19"/>
      <c r="F110" s="31">
        <v>2000000</v>
      </c>
      <c r="G110" s="19"/>
      <c r="H110" s="68">
        <v>458.22</v>
      </c>
      <c r="I110" s="68"/>
      <c r="J110" s="68">
        <v>360.2</v>
      </c>
      <c r="K110" s="68">
        <v>112.7</v>
      </c>
      <c r="N110" s="49"/>
    </row>
    <row r="111" spans="1:14" s="48" customFormat="1" ht="111" customHeight="1">
      <c r="A111" s="36">
        <v>4</v>
      </c>
      <c r="B111" s="47" t="s">
        <v>113</v>
      </c>
      <c r="C111" s="18" t="s">
        <v>26</v>
      </c>
      <c r="D111" s="31">
        <v>4274190</v>
      </c>
      <c r="E111" s="19"/>
      <c r="F111" s="31">
        <v>3800000</v>
      </c>
      <c r="G111" s="19"/>
      <c r="H111" s="68">
        <v>746.62</v>
      </c>
      <c r="I111" s="68"/>
      <c r="J111" s="68">
        <v>1500.3</v>
      </c>
      <c r="K111" s="68">
        <v>699.5</v>
      </c>
      <c r="N111" s="49"/>
    </row>
    <row r="112" spans="1:14" s="48" customFormat="1" ht="53.25" customHeight="1">
      <c r="A112" s="36">
        <v>5</v>
      </c>
      <c r="B112" s="47" t="s">
        <v>111</v>
      </c>
      <c r="C112" s="18" t="s">
        <v>26</v>
      </c>
      <c r="D112" s="31">
        <v>9400000</v>
      </c>
      <c r="E112" s="19"/>
      <c r="F112" s="31">
        <v>9400000</v>
      </c>
      <c r="G112" s="19"/>
      <c r="H112" s="68">
        <v>1126.6600000000001</v>
      </c>
      <c r="I112" s="68"/>
      <c r="J112" s="68">
        <v>500.6</v>
      </c>
      <c r="K112" s="68">
        <v>0</v>
      </c>
      <c r="N112" s="49"/>
    </row>
    <row r="113" spans="1:14" s="48" customFormat="1" ht="86.25" customHeight="1">
      <c r="A113" s="36">
        <v>6</v>
      </c>
      <c r="B113" s="47" t="s">
        <v>112</v>
      </c>
      <c r="C113" s="18" t="s">
        <v>26</v>
      </c>
      <c r="D113" s="31">
        <v>420000</v>
      </c>
      <c r="E113" s="19"/>
      <c r="F113" s="31">
        <v>9012000</v>
      </c>
      <c r="G113" s="19"/>
      <c r="H113" s="68">
        <v>3120.16</v>
      </c>
      <c r="I113" s="68"/>
      <c r="J113" s="68">
        <v>1489.3</v>
      </c>
      <c r="K113" s="68">
        <v>54.66</v>
      </c>
      <c r="N113" s="49"/>
    </row>
    <row r="114" spans="1:14" s="48" customFormat="1" ht="12">
      <c r="A114" s="71" t="s">
        <v>27</v>
      </c>
      <c r="B114" s="72"/>
      <c r="C114" s="21" t="s">
        <v>21</v>
      </c>
      <c r="D114" s="34">
        <f>SUM(D108:D113)</f>
        <v>20731190</v>
      </c>
      <c r="E114" s="22"/>
      <c r="F114" s="34">
        <f>SUM(F108:F113)</f>
        <v>28320807</v>
      </c>
      <c r="G114" s="22"/>
      <c r="H114" s="34">
        <f>SUM(H108:H113)</f>
        <v>7476.29</v>
      </c>
      <c r="I114" s="22"/>
      <c r="J114" s="34">
        <f>SUM(J108:J113)</f>
        <v>5459.2</v>
      </c>
      <c r="K114" s="34">
        <f>SUM(K108:K113)</f>
        <v>980.37</v>
      </c>
      <c r="N114" s="49"/>
    </row>
    <row r="115" spans="1:14" s="48" customFormat="1" ht="12">
      <c r="A115" s="21">
        <v>4</v>
      </c>
      <c r="B115" s="66" t="s">
        <v>75</v>
      </c>
      <c r="C115" s="63"/>
      <c r="D115" s="62"/>
      <c r="E115" s="58"/>
      <c r="F115" s="62"/>
      <c r="G115" s="58"/>
      <c r="H115" s="58"/>
      <c r="I115" s="58"/>
      <c r="J115" s="58"/>
      <c r="K115" s="60"/>
      <c r="N115" s="49"/>
    </row>
    <row r="116" spans="1:14" s="48" customFormat="1" ht="93.75" customHeight="1">
      <c r="A116" s="36">
        <v>1</v>
      </c>
      <c r="B116" s="47" t="s">
        <v>114</v>
      </c>
      <c r="C116" s="18" t="s">
        <v>26</v>
      </c>
      <c r="D116" s="31">
        <v>159937.67000000001</v>
      </c>
      <c r="E116" s="19"/>
      <c r="F116" s="31">
        <v>117228.12</v>
      </c>
      <c r="G116" s="68"/>
      <c r="H116" s="68">
        <v>55.88</v>
      </c>
      <c r="I116" s="68"/>
      <c r="J116" s="68">
        <v>12.3</v>
      </c>
      <c r="K116" s="68">
        <v>0</v>
      </c>
      <c r="N116" s="49"/>
    </row>
    <row r="117" spans="1:14" s="48" customFormat="1" ht="69" customHeight="1">
      <c r="A117" s="36">
        <f>A116+1</f>
        <v>2</v>
      </c>
      <c r="B117" s="47" t="s">
        <v>115</v>
      </c>
      <c r="C117" s="18" t="s">
        <v>26</v>
      </c>
      <c r="D117" s="31">
        <v>150969</v>
      </c>
      <c r="E117" s="19"/>
      <c r="F117" s="31">
        <v>117201.25</v>
      </c>
      <c r="G117" s="68"/>
      <c r="H117" s="68">
        <v>44.13</v>
      </c>
      <c r="I117" s="68"/>
      <c r="J117" s="68">
        <v>54.2</v>
      </c>
      <c r="K117" s="68">
        <v>0</v>
      </c>
      <c r="N117" s="49"/>
    </row>
    <row r="118" spans="1:14" s="48" customFormat="1" ht="73.5" customHeight="1">
      <c r="A118" s="36">
        <f t="shared" ref="A118:A129" si="1">A117+1</f>
        <v>3</v>
      </c>
      <c r="B118" s="47" t="s">
        <v>116</v>
      </c>
      <c r="C118" s="18" t="s">
        <v>26</v>
      </c>
      <c r="D118" s="31">
        <v>26746.74</v>
      </c>
      <c r="E118" s="19"/>
      <c r="F118" s="31">
        <v>20826.57</v>
      </c>
      <c r="G118" s="68"/>
      <c r="H118" s="68">
        <v>7.51</v>
      </c>
      <c r="I118" s="68"/>
      <c r="J118" s="68">
        <v>15.21</v>
      </c>
      <c r="K118" s="68">
        <v>0</v>
      </c>
      <c r="N118" s="49"/>
    </row>
    <row r="119" spans="1:14" s="48" customFormat="1" ht="90.75" customHeight="1">
      <c r="A119" s="36">
        <f t="shared" si="1"/>
        <v>4</v>
      </c>
      <c r="B119" s="47" t="s">
        <v>117</v>
      </c>
      <c r="C119" s="18" t="s">
        <v>26</v>
      </c>
      <c r="D119" s="31">
        <v>323816</v>
      </c>
      <c r="E119" s="19"/>
      <c r="F119" s="31">
        <v>225588</v>
      </c>
      <c r="G119" s="68"/>
      <c r="H119" s="68">
        <v>89.25</v>
      </c>
      <c r="I119" s="68"/>
      <c r="J119" s="68">
        <v>15.14</v>
      </c>
      <c r="K119" s="68">
        <v>0</v>
      </c>
      <c r="N119" s="49"/>
    </row>
    <row r="120" spans="1:14" s="48" customFormat="1" ht="87" customHeight="1">
      <c r="A120" s="36">
        <f t="shared" si="1"/>
        <v>5</v>
      </c>
      <c r="B120" s="47" t="s">
        <v>118</v>
      </c>
      <c r="C120" s="18" t="s">
        <v>26</v>
      </c>
      <c r="D120" s="31">
        <v>24075.94</v>
      </c>
      <c r="E120" s="19"/>
      <c r="F120" s="31">
        <v>18121.97</v>
      </c>
      <c r="G120" s="68"/>
      <c r="H120" s="68">
        <v>6.2</v>
      </c>
      <c r="I120" s="68"/>
      <c r="J120" s="68">
        <v>15.45</v>
      </c>
      <c r="K120" s="68">
        <v>0</v>
      </c>
      <c r="N120" s="49"/>
    </row>
    <row r="121" spans="1:14" s="48" customFormat="1" ht="81.75" customHeight="1">
      <c r="A121" s="36">
        <f t="shared" si="1"/>
        <v>6</v>
      </c>
      <c r="B121" s="47" t="s">
        <v>119</v>
      </c>
      <c r="C121" s="18" t="s">
        <v>26</v>
      </c>
      <c r="D121" s="31">
        <v>80232</v>
      </c>
      <c r="E121" s="19"/>
      <c r="F121" s="31">
        <v>56770</v>
      </c>
      <c r="G121" s="68"/>
      <c r="H121" s="68">
        <v>30.52</v>
      </c>
      <c r="I121" s="68"/>
      <c r="J121" s="68">
        <v>28.4</v>
      </c>
      <c r="K121" s="68">
        <v>0</v>
      </c>
      <c r="N121" s="49"/>
    </row>
    <row r="122" spans="1:14" s="48" customFormat="1" ht="78.75" customHeight="1">
      <c r="A122" s="36">
        <f t="shared" si="1"/>
        <v>7</v>
      </c>
      <c r="B122" s="47" t="s">
        <v>120</v>
      </c>
      <c r="C122" s="18" t="s">
        <v>26</v>
      </c>
      <c r="D122" s="31">
        <v>24075.94</v>
      </c>
      <c r="E122" s="19"/>
      <c r="F122" s="31">
        <v>18121.97</v>
      </c>
      <c r="G122" s="68"/>
      <c r="H122" s="68">
        <v>9.1999999999999993</v>
      </c>
      <c r="I122" s="68"/>
      <c r="J122" s="68">
        <v>5.3</v>
      </c>
      <c r="K122" s="68">
        <v>0</v>
      </c>
      <c r="N122" s="49"/>
    </row>
    <row r="123" spans="1:14" s="48" customFormat="1" ht="71.25" customHeight="1">
      <c r="A123" s="36">
        <f t="shared" si="1"/>
        <v>8</v>
      </c>
      <c r="B123" s="47" t="s">
        <v>121</v>
      </c>
      <c r="C123" s="18" t="s">
        <v>26</v>
      </c>
      <c r="D123" s="31">
        <v>184141.98</v>
      </c>
      <c r="E123" s="19"/>
      <c r="F123" s="31">
        <v>122960.49</v>
      </c>
      <c r="G123" s="68"/>
      <c r="H123" s="68">
        <v>112.7</v>
      </c>
      <c r="I123" s="68"/>
      <c r="J123" s="68">
        <v>47.66</v>
      </c>
      <c r="K123" s="68">
        <v>12.12</v>
      </c>
      <c r="N123" s="49"/>
    </row>
    <row r="124" spans="1:14" s="55" customFormat="1" ht="99.75" customHeight="1">
      <c r="A124" s="36">
        <f t="shared" si="1"/>
        <v>9</v>
      </c>
      <c r="B124" s="54" t="s">
        <v>122</v>
      </c>
      <c r="C124" s="18" t="s">
        <v>26</v>
      </c>
      <c r="D124" s="31">
        <v>31721</v>
      </c>
      <c r="E124" s="19"/>
      <c r="F124" s="31">
        <v>24419</v>
      </c>
      <c r="G124" s="68"/>
      <c r="H124" s="68">
        <v>7.51</v>
      </c>
      <c r="I124" s="68"/>
      <c r="J124" s="68">
        <v>7.19</v>
      </c>
      <c r="K124" s="68">
        <v>0</v>
      </c>
      <c r="N124" s="56"/>
    </row>
    <row r="125" spans="1:14" s="55" customFormat="1" ht="99.75" customHeight="1">
      <c r="A125" s="36">
        <f t="shared" si="1"/>
        <v>10</v>
      </c>
      <c r="B125" s="54" t="s">
        <v>123</v>
      </c>
      <c r="C125" s="18" t="s">
        <v>26</v>
      </c>
      <c r="D125" s="31">
        <v>87573.23</v>
      </c>
      <c r="E125" s="19"/>
      <c r="F125" s="31">
        <v>52115.82</v>
      </c>
      <c r="G125" s="68"/>
      <c r="H125" s="68">
        <v>38.369999999999997</v>
      </c>
      <c r="I125" s="68"/>
      <c r="J125" s="68">
        <v>12.3</v>
      </c>
      <c r="K125" s="68">
        <v>0</v>
      </c>
      <c r="N125" s="56"/>
    </row>
    <row r="126" spans="1:14" s="55" customFormat="1" ht="99.75" customHeight="1">
      <c r="A126" s="36">
        <f t="shared" si="1"/>
        <v>11</v>
      </c>
      <c r="B126" s="54" t="s">
        <v>124</v>
      </c>
      <c r="C126" s="18" t="s">
        <v>26</v>
      </c>
      <c r="D126" s="31">
        <v>151460.60999999999</v>
      </c>
      <c r="E126" s="19"/>
      <c r="F126" s="31">
        <v>111077.18</v>
      </c>
      <c r="G126" s="68"/>
      <c r="H126" s="68">
        <v>40.65</v>
      </c>
      <c r="I126" s="68"/>
      <c r="J126" s="68">
        <v>20.329999999999998</v>
      </c>
      <c r="K126" s="68">
        <v>0</v>
      </c>
      <c r="N126" s="56"/>
    </row>
    <row r="127" spans="1:14" s="55" customFormat="1" ht="83.25" customHeight="1">
      <c r="A127" s="36">
        <f t="shared" si="1"/>
        <v>12</v>
      </c>
      <c r="B127" s="54" t="s">
        <v>125</v>
      </c>
      <c r="C127" s="18" t="s">
        <v>26</v>
      </c>
      <c r="D127" s="31">
        <v>33633.56</v>
      </c>
      <c r="E127" s="19"/>
      <c r="F127" s="31">
        <v>26331.599999999999</v>
      </c>
      <c r="G127" s="68"/>
      <c r="H127" s="68">
        <v>7.51</v>
      </c>
      <c r="I127" s="68"/>
      <c r="J127" s="68">
        <v>8.9</v>
      </c>
      <c r="K127" s="68">
        <v>0</v>
      </c>
      <c r="N127" s="56"/>
    </row>
    <row r="128" spans="1:14" s="55" customFormat="1" ht="88.5" customHeight="1">
      <c r="A128" s="36">
        <f t="shared" si="1"/>
        <v>13</v>
      </c>
      <c r="B128" s="54" t="s">
        <v>126</v>
      </c>
      <c r="C128" s="18" t="s">
        <v>26</v>
      </c>
      <c r="D128" s="31">
        <v>33633.56</v>
      </c>
      <c r="E128" s="19"/>
      <c r="F128" s="31">
        <v>26311.599999999999</v>
      </c>
      <c r="G128" s="68"/>
      <c r="H128" s="68">
        <v>7.51</v>
      </c>
      <c r="I128" s="68"/>
      <c r="J128" s="68">
        <v>4.8</v>
      </c>
      <c r="K128" s="68">
        <v>0</v>
      </c>
      <c r="N128" s="56"/>
    </row>
    <row r="129" spans="1:14" s="55" customFormat="1" ht="101.25" customHeight="1">
      <c r="A129" s="36">
        <f t="shared" si="1"/>
        <v>14</v>
      </c>
      <c r="B129" s="54" t="s">
        <v>127</v>
      </c>
      <c r="C129" s="18" t="s">
        <v>26</v>
      </c>
      <c r="D129" s="31">
        <v>29194.35</v>
      </c>
      <c r="E129" s="19"/>
      <c r="F129" s="31">
        <v>21892.39</v>
      </c>
      <c r="G129" s="68"/>
      <c r="H129" s="68">
        <v>7.51</v>
      </c>
      <c r="I129" s="68"/>
      <c r="J129" s="68">
        <v>6.8</v>
      </c>
      <c r="K129" s="68">
        <v>0</v>
      </c>
      <c r="N129" s="56"/>
    </row>
    <row r="130" spans="1:14" s="48" customFormat="1" ht="12">
      <c r="A130" s="71" t="s">
        <v>27</v>
      </c>
      <c r="B130" s="72"/>
      <c r="C130" s="21" t="s">
        <v>21</v>
      </c>
      <c r="D130" s="34">
        <f>SUM(D116:D129)</f>
        <v>1341211.58</v>
      </c>
      <c r="E130" s="22"/>
      <c r="F130" s="34">
        <f>SUM(F116:F129)</f>
        <v>958965.95999999985</v>
      </c>
      <c r="G130" s="22"/>
      <c r="H130" s="34">
        <f>SUM(H116:H129)</f>
        <v>464.44999999999993</v>
      </c>
      <c r="I130" s="22"/>
      <c r="J130" s="34">
        <f>SUM(J116:J129)</f>
        <v>253.98000000000005</v>
      </c>
      <c r="K130" s="34">
        <f>SUM(K116:K129)</f>
        <v>12.12</v>
      </c>
      <c r="N130" s="49"/>
    </row>
    <row r="131" spans="1:14" s="48" customFormat="1" ht="12">
      <c r="A131" s="69" t="s">
        <v>130</v>
      </c>
      <c r="B131" s="70"/>
      <c r="C131" s="64"/>
      <c r="D131" s="27">
        <f>D130+D114+D106</f>
        <v>22495882.029999997</v>
      </c>
      <c r="E131" s="24"/>
      <c r="F131" s="27">
        <f>F130+F114+F106</f>
        <v>29434992.960000001</v>
      </c>
      <c r="G131" s="24"/>
      <c r="H131" s="27">
        <f>H130+H114+H106</f>
        <v>9110.4399999999987</v>
      </c>
      <c r="I131" s="24"/>
      <c r="J131" s="27">
        <f>J130+J114+J106</f>
        <v>6053.0288</v>
      </c>
      <c r="K131" s="27">
        <f>K130+K114+K106</f>
        <v>1192.49</v>
      </c>
      <c r="N131" s="49"/>
    </row>
    <row r="132" spans="1:14">
      <c r="A132" s="28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spans="1:14" ht="15.75">
      <c r="A133" s="28"/>
      <c r="B133" s="42" t="s">
        <v>163</v>
      </c>
      <c r="C133" s="2"/>
      <c r="D133" s="2"/>
      <c r="E133" s="2"/>
      <c r="F133" s="2"/>
      <c r="G133" s="2"/>
      <c r="H133" s="2"/>
      <c r="I133" s="2"/>
      <c r="J133" s="2"/>
      <c r="K133" s="2"/>
    </row>
    <row r="134" spans="1:14" s="40" customFormat="1" ht="15" customHeight="1">
      <c r="A134" s="73" t="s">
        <v>55</v>
      </c>
      <c r="B134" s="73"/>
      <c r="D134" s="41" t="s">
        <v>67</v>
      </c>
      <c r="E134" s="42"/>
      <c r="F134" s="42"/>
      <c r="G134" s="42"/>
      <c r="H134" s="42"/>
      <c r="I134" s="42"/>
      <c r="J134" s="42"/>
      <c r="K134" s="42"/>
    </row>
    <row r="135" spans="1:14" s="40" customFormat="1" ht="15.75">
      <c r="A135" s="43"/>
      <c r="B135" s="42"/>
      <c r="C135" s="42"/>
      <c r="D135" s="42"/>
      <c r="E135" s="42"/>
      <c r="F135" s="42"/>
      <c r="G135" s="42"/>
      <c r="H135" s="42"/>
      <c r="I135" s="42"/>
      <c r="J135" s="42"/>
      <c r="K135" s="42"/>
    </row>
    <row r="136" spans="1:14" s="40" customFormat="1" ht="15.75">
      <c r="A136" s="44"/>
      <c r="B136" s="40" t="s">
        <v>68</v>
      </c>
      <c r="D136" s="40" t="s">
        <v>69</v>
      </c>
    </row>
  </sheetData>
  <mergeCells count="31">
    <mergeCell ref="A105:B105"/>
    <mergeCell ref="A106:B106"/>
    <mergeCell ref="A114:B114"/>
    <mergeCell ref="A130:B130"/>
    <mergeCell ref="A131:B131"/>
    <mergeCell ref="A69:B69"/>
    <mergeCell ref="A83:B83"/>
    <mergeCell ref="A90:B90"/>
    <mergeCell ref="A99:B99"/>
    <mergeCell ref="A104:B104"/>
    <mergeCell ref="A134:B134"/>
    <mergeCell ref="A1:B1"/>
    <mergeCell ref="A42:B42"/>
    <mergeCell ref="H3:I3"/>
    <mergeCell ref="J4:K4"/>
    <mergeCell ref="A9:K9"/>
    <mergeCell ref="A11:A12"/>
    <mergeCell ref="B11:B12"/>
    <mergeCell ref="C11:C12"/>
    <mergeCell ref="A3:B3"/>
    <mergeCell ref="A6:B6"/>
    <mergeCell ref="F11:G11"/>
    <mergeCell ref="A16:B16"/>
    <mergeCell ref="A34:B34"/>
    <mergeCell ref="A38:B38"/>
    <mergeCell ref="A51:B51"/>
    <mergeCell ref="A52:B52"/>
    <mergeCell ref="A53:B53"/>
    <mergeCell ref="A60:B60"/>
    <mergeCell ref="A65:B65"/>
    <mergeCell ref="A64:B64"/>
  </mergeCells>
  <pageMargins left="0.28000000000000003" right="0.23" top="0.28000000000000003" bottom="0.31" header="0.31496062992125984" footer="0.31496062992125984"/>
  <pageSetup paperSize="9" scale="8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</vt:lpstr>
      <vt:lpstr>план!Область_печати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2023-05-02T10:22:20Z</dcterms:modified>
</cp:coreProperties>
</file>